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PI R2 ENGENHARIA\PI R2 LICITAÇÕES\P.M DE PIRANGA\2021\CONSULTORIA_PROJETOS\19- ESGOTO COPASA\PLANILHA ORÇAMENTÁRIA\"/>
    </mc:Choice>
  </mc:AlternateContent>
  <xr:revisionPtr revIDLastSave="0" documentId="13_ncr:1_{9A2E32A8-D7D0-44EC-8BF9-F243B1D911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LANILHA ORÇAMENTÁRIA" sheetId="9" r:id="rId1"/>
    <sheet name="BDI " sheetId="15" r:id="rId2"/>
    <sheet name="CRONOGRAMA" sheetId="4" r:id="rId3"/>
    <sheet name="MEMÓRIA" sheetId="8" state="hidden" r:id="rId4"/>
    <sheet name="QCI" sheetId="11" state="hidden" r:id="rId5"/>
  </sheets>
  <externalReferences>
    <externalReference r:id="rId6"/>
    <externalReference r:id="rId7"/>
  </externalReferences>
  <definedNames>
    <definedName name="\0">#REF!</definedName>
    <definedName name="____xlnm.Print_Area_5">#REF!</definedName>
    <definedName name="____xlnm.Print_Titles_4">([1]Cronograma!$A:$D,[1]Cronograma!$1:$8)</definedName>
    <definedName name="___xlnm.Print_Area_5">#REF!</definedName>
    <definedName name="___xlnm.Print_Titles_4">([1]Cronograma!$A:$D,[1]Cronograma!$1:$8)</definedName>
    <definedName name="__xlnm.Print_Area_5">#REF!</definedName>
    <definedName name="__xlnm.Print_Titles_4">([1]Cronograma!$A:$D,[1]Cronograma!$1:$8)</definedName>
    <definedName name="_xlnm.Print_Area" localSheetId="1">'BDI '!$A$1:$D$36</definedName>
    <definedName name="_xlnm.Print_Area" localSheetId="2">CRONOGRAMA!$A$1:$H$43</definedName>
    <definedName name="_xlnm.Print_Area" localSheetId="3">MEMÓRIA!$A$1:$F$24</definedName>
    <definedName name="_xlnm.Print_Area" localSheetId="0">'PLANILHA ORÇAMENTÁRIA'!$B$1:$K$85</definedName>
    <definedName name="_xlnm.Print_Area" localSheetId="4">QCI!$A$1:$H$29</definedName>
    <definedName name="_xlnm.Database">TEXT([2]Dados!$G$29,"mm-aaaa")</definedName>
    <definedName name="COMP">#REF!</definedName>
    <definedName name="COTAÇÕES">#REF!</definedName>
    <definedName name="rodape">#REF!</definedName>
    <definedName name="SS">#REF!</definedName>
    <definedName name="TESTE">#REF!</definedName>
    <definedName name="_xlnm.Print_Titles" localSheetId="3">MEMÓRIA!$3:$3</definedName>
    <definedName name="_xlnm.Print_Titles" localSheetId="0">'PLANILHA ORÇAMENTÁRIA'!$1:$9</definedName>
  </definedNames>
  <calcPr calcId="191029"/>
</workbook>
</file>

<file path=xl/calcChain.xml><?xml version="1.0" encoding="utf-8"?>
<calcChain xmlns="http://schemas.openxmlformats.org/spreadsheetml/2006/main">
  <c r="B34" i="4" l="1"/>
  <c r="B32" i="4"/>
  <c r="B30" i="4"/>
  <c r="B28" i="4"/>
  <c r="B26" i="4"/>
  <c r="B24" i="4"/>
  <c r="G34" i="4"/>
  <c r="G32" i="4"/>
  <c r="G26" i="4"/>
  <c r="G28" i="4"/>
  <c r="G30" i="4"/>
  <c r="B22" i="4" l="1"/>
  <c r="B20" i="4"/>
  <c r="B18" i="4"/>
  <c r="B16" i="4"/>
  <c r="B14" i="4"/>
  <c r="B12" i="4"/>
  <c r="B10" i="4"/>
  <c r="G24" i="4" l="1"/>
  <c r="C19" i="15" l="1"/>
  <c r="C28" i="15" s="1"/>
  <c r="C27" i="15"/>
  <c r="C29" i="15" l="1"/>
  <c r="E30" i="15" s="1"/>
  <c r="H8" i="4" l="1"/>
  <c r="K8" i="9"/>
  <c r="J68" i="9" l="1"/>
  <c r="K68" i="9" s="1"/>
  <c r="K71" i="9" s="1"/>
  <c r="D31" i="4" s="1"/>
  <c r="J73" i="9"/>
  <c r="K73" i="9" s="1"/>
  <c r="K74" i="9" s="1"/>
  <c r="D33" i="4" s="1"/>
  <c r="J69" i="9"/>
  <c r="K69" i="9" s="1"/>
  <c r="J70" i="9"/>
  <c r="K70" i="9" s="1"/>
  <c r="J65" i="9"/>
  <c r="K65" i="9" s="1"/>
  <c r="J64" i="9"/>
  <c r="K64" i="9" s="1"/>
  <c r="J63" i="9"/>
  <c r="K63" i="9" s="1"/>
  <c r="J60" i="9"/>
  <c r="K60" i="9" s="1"/>
  <c r="J56" i="9"/>
  <c r="K56" i="9" s="1"/>
  <c r="J57" i="9"/>
  <c r="K57" i="9" s="1"/>
  <c r="J59" i="9"/>
  <c r="K59" i="9" s="1"/>
  <c r="J58" i="9"/>
  <c r="K58" i="9" s="1"/>
  <c r="J37" i="9"/>
  <c r="K37" i="9" s="1"/>
  <c r="J52" i="9"/>
  <c r="K52" i="9" s="1"/>
  <c r="J53" i="9"/>
  <c r="K53" i="9" s="1"/>
  <c r="J33" i="9"/>
  <c r="K33" i="9" s="1"/>
  <c r="J40" i="9"/>
  <c r="K40" i="9" s="1"/>
  <c r="J41" i="9"/>
  <c r="K41" i="9" s="1"/>
  <c r="J31" i="9"/>
  <c r="K31" i="9" s="1"/>
  <c r="J44" i="9"/>
  <c r="K44" i="9" s="1"/>
  <c r="K45" i="9" s="1"/>
  <c r="D21" i="4" s="1"/>
  <c r="J26" i="9"/>
  <c r="K26" i="9" s="1"/>
  <c r="J39" i="9"/>
  <c r="K39" i="9" s="1"/>
  <c r="J38" i="9"/>
  <c r="K38" i="9" s="1"/>
  <c r="J36" i="9"/>
  <c r="K36" i="9" s="1"/>
  <c r="J24" i="9"/>
  <c r="K24" i="9" s="1"/>
  <c r="J23" i="9"/>
  <c r="K23" i="9" s="1"/>
  <c r="J21" i="9"/>
  <c r="K21" i="9" s="1"/>
  <c r="J32" i="9"/>
  <c r="K32" i="9" s="1"/>
  <c r="J30" i="9"/>
  <c r="K30" i="9" s="1"/>
  <c r="J29" i="9"/>
  <c r="K29" i="9" s="1"/>
  <c r="J25" i="9"/>
  <c r="K25" i="9" s="1"/>
  <c r="J22" i="9"/>
  <c r="K22" i="9" s="1"/>
  <c r="J20" i="9"/>
  <c r="K20" i="9" s="1"/>
  <c r="J47" i="9"/>
  <c r="K47" i="9" s="1"/>
  <c r="K48" i="9" s="1"/>
  <c r="D23" i="4" s="1"/>
  <c r="J16" i="9"/>
  <c r="K16" i="9" s="1"/>
  <c r="J17" i="9"/>
  <c r="K17" i="9" s="1"/>
  <c r="J11" i="9"/>
  <c r="K11" i="9" s="1"/>
  <c r="J12" i="9"/>
  <c r="K12" i="9" s="1"/>
  <c r="F33" i="4" l="1"/>
  <c r="E33" i="4"/>
  <c r="E31" i="4"/>
  <c r="F31" i="4"/>
  <c r="K66" i="9"/>
  <c r="D29" i="4" s="1"/>
  <c r="K61" i="9"/>
  <c r="K54" i="9"/>
  <c r="D25" i="4" s="1"/>
  <c r="K34" i="9"/>
  <c r="D17" i="4" s="1"/>
  <c r="K27" i="9"/>
  <c r="D15" i="4" s="1"/>
  <c r="K42" i="9"/>
  <c r="D19" i="4" s="1"/>
  <c r="K13" i="9"/>
  <c r="F29" i="4" l="1"/>
  <c r="E29" i="4"/>
  <c r="K75" i="9"/>
  <c r="D27" i="4"/>
  <c r="D11" i="4"/>
  <c r="G22" i="4"/>
  <c r="G20" i="4"/>
  <c r="G16" i="4"/>
  <c r="F27" i="4" l="1"/>
  <c r="E27" i="4"/>
  <c r="F17" i="4"/>
  <c r="E17" i="4"/>
  <c r="F21" i="4"/>
  <c r="E21" i="4"/>
  <c r="G12" i="4"/>
  <c r="G14" i="4"/>
  <c r="G18" i="4"/>
  <c r="G10" i="4"/>
  <c r="K18" i="9" l="1"/>
  <c r="F19" i="4"/>
  <c r="E19" i="4"/>
  <c r="E9" i="8"/>
  <c r="E15" i="8" s="1"/>
  <c r="D13" i="4" l="1"/>
  <c r="F13" i="4" s="1"/>
  <c r="K49" i="9"/>
  <c r="K77" i="9" s="1"/>
  <c r="G17" i="4"/>
  <c r="G19" i="4"/>
  <c r="G21" i="4"/>
  <c r="C14" i="11" l="1"/>
  <c r="C13" i="11"/>
  <c r="C12" i="11"/>
  <c r="C11" i="11"/>
  <c r="J25" i="11"/>
  <c r="J24" i="11"/>
  <c r="J11" i="11"/>
  <c r="J10" i="11"/>
  <c r="D16" i="8" l="1"/>
  <c r="B16" i="8"/>
  <c r="C16" i="8"/>
  <c r="C15" i="8"/>
  <c r="E12" i="8"/>
  <c r="E13" i="8" l="1"/>
  <c r="E14" i="8"/>
  <c r="E19" i="8" l="1"/>
  <c r="F27" i="8" l="1"/>
  <c r="F11" i="11" l="1"/>
  <c r="F11" i="4" l="1"/>
  <c r="F12" i="11"/>
  <c r="K78" i="9" l="1"/>
  <c r="D35" i="4" s="1"/>
  <c r="F13" i="11"/>
  <c r="F14" i="11"/>
  <c r="D37" i="4" l="1"/>
  <c r="D34" i="4" s="1"/>
  <c r="E35" i="4"/>
  <c r="F35" i="4"/>
  <c r="K79" i="9"/>
  <c r="F25" i="4"/>
  <c r="E25" i="4"/>
  <c r="F23" i="4"/>
  <c r="E23" i="4"/>
  <c r="F15" i="4"/>
  <c r="E15" i="4"/>
  <c r="F10" i="11"/>
  <c r="F36" i="4" l="1"/>
  <c r="F37" i="4"/>
  <c r="D28" i="4"/>
  <c r="D26" i="4"/>
  <c r="D32" i="4"/>
  <c r="D30" i="4"/>
  <c r="G35" i="4"/>
  <c r="G33" i="4"/>
  <c r="G27" i="4"/>
  <c r="G31" i="4"/>
  <c r="D24" i="4"/>
  <c r="G25" i="4"/>
  <c r="G23" i="4"/>
  <c r="D12" i="4"/>
  <c r="G15" i="4"/>
  <c r="K12" i="11"/>
  <c r="F24" i="11"/>
  <c r="G25" i="11" s="1"/>
  <c r="K14" i="11"/>
  <c r="K15" i="11"/>
  <c r="K18" i="11"/>
  <c r="K21" i="11"/>
  <c r="K13" i="11"/>
  <c r="K22" i="11"/>
  <c r="K16" i="11"/>
  <c r="K19" i="11"/>
  <c r="K17" i="11"/>
  <c r="K11" i="11"/>
  <c r="K20" i="11"/>
  <c r="E11" i="4"/>
  <c r="G29" i="4" l="1"/>
  <c r="D18" i="4"/>
  <c r="D22" i="4"/>
  <c r="D20" i="4"/>
  <c r="D16" i="4"/>
  <c r="G11" i="4"/>
  <c r="D11" i="11"/>
  <c r="E11" i="11"/>
  <c r="E13" i="11"/>
  <c r="D13" i="11"/>
  <c r="D14" i="11"/>
  <c r="E14" i="11"/>
  <c r="E12" i="11"/>
  <c r="D12" i="11"/>
  <c r="E10" i="11" l="1"/>
  <c r="E24" i="11" s="1"/>
  <c r="E25" i="11" s="1"/>
  <c r="D10" i="11"/>
  <c r="D24" i="11" s="1"/>
  <c r="D25" i="11" s="1"/>
  <c r="F25" i="11" l="1"/>
  <c r="E13" i="4"/>
  <c r="E36" i="4" l="1"/>
  <c r="E37" i="4"/>
  <c r="G37" i="4" s="1"/>
  <c r="G13" i="4"/>
  <c r="D14" i="4"/>
  <c r="D10" i="4"/>
  <c r="D36" i="4" s="1"/>
  <c r="G36" i="4" l="1"/>
</calcChain>
</file>

<file path=xl/sharedStrings.xml><?xml version="1.0" encoding="utf-8"?>
<sst xmlns="http://schemas.openxmlformats.org/spreadsheetml/2006/main" count="483" uniqueCount="246">
  <si>
    <t>SERVIÇOS PRELIMINARES</t>
  </si>
  <si>
    <t>m²</t>
  </si>
  <si>
    <t>un</t>
  </si>
  <si>
    <t>m³</t>
  </si>
  <si>
    <t>m</t>
  </si>
  <si>
    <t>ITEM</t>
  </si>
  <si>
    <t>DESCRIÇÃO DOS SERVIÇOS</t>
  </si>
  <si>
    <t>UND.</t>
  </si>
  <si>
    <t>QUANT.</t>
  </si>
  <si>
    <t>VALOR TOTAL</t>
  </si>
  <si>
    <t>1.1</t>
  </si>
  <si>
    <t>1.2</t>
  </si>
  <si>
    <t>TOTAL</t>
  </si>
  <si>
    <t>CÓDIGO</t>
  </si>
  <si>
    <t>PLANILHA ORÇAMENTÁRIA DE CUSTOS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</si>
  <si>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</si>
  <si>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</si>
  <si>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</si>
  <si>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</si>
  <si>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</si>
  <si>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</si>
  <si>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Físico %</t>
  </si>
  <si>
    <t>Financeiro</t>
  </si>
  <si>
    <t>LOC-TOP-005</t>
  </si>
  <si>
    <t>pt</t>
  </si>
  <si>
    <t>Locação topográfica</t>
  </si>
  <si>
    <t>IIO- PLA-005</t>
  </si>
  <si>
    <t>ESTRUTURA DE DRENAGEM</t>
  </si>
  <si>
    <t xml:space="preserve">Sarjeta tipo 2 - 50 x 5 cm, I = 15% padrão DEOP - MG </t>
  </si>
  <si>
    <t>DRE-SAR-010</t>
  </si>
  <si>
    <t>OBR-VIA-140</t>
  </si>
  <si>
    <t>LIM-GER-005</t>
  </si>
  <si>
    <t xml:space="preserve">                                                          Eustaquio Antônio Veiga de Souza</t>
  </si>
  <si>
    <t xml:space="preserve">                                                                           CREA 54969/D</t>
  </si>
  <si>
    <t>MEMÓRIA</t>
  </si>
  <si>
    <t>Fornecumento e colocação de placa de obra em chapa galvanizada (3,00x1,50)m- em chapa galvanizada 0,26 afixadas com rebites 540 e parafusos 3/8, em estrutura metálica viga U 2" enrijecida com metalon 20x20, suporte em eucalipto autoclavado pintadas na frente e no verso com fundo anticorrosivo e tinta automotiva (FRENTE: PINTURA AUTOMOTIVA FUNDO AZUL, TEXTO: PLOTTER DE RECORTE PELÍCULA BRANCA E PARTE INFERIOR: APLICAÇÃO DAS MARCAS EM COR CONFORME MANUAL DE IDENTIDADE VISUAL DO GOVERNO DE MINAS</t>
  </si>
  <si>
    <t>PAVIMENTAÇÃO E SERVIÇOS FINAIS</t>
  </si>
  <si>
    <t>Regularização do subleito com proctor normal</t>
  </si>
  <si>
    <t>OBR-VIA-125</t>
  </si>
  <si>
    <t>Limpeza geral da obra</t>
  </si>
  <si>
    <t xml:space="preserve">LIMPEZA  </t>
  </si>
  <si>
    <t>Execução de sub base de solo estabilizado granulometricamente sem mistura com proctor intermediário, incluindo escavação, carga, descarga, espalhamento  e compactação do material, inclusive aquisição e transporte do material, esp. 20CM</t>
  </si>
  <si>
    <t>OBR-VIA-215</t>
  </si>
  <si>
    <t>Execução de calçamento em bloquete e=8cm fck 35 MPA, incluindo fornecimento e transporte de todos os materiais, colchão de assentamento E = 6 cm</t>
  </si>
  <si>
    <t>URB-MFC-005</t>
  </si>
  <si>
    <t>2.1</t>
  </si>
  <si>
    <t>3.1</t>
  </si>
  <si>
    <t>3.2</t>
  </si>
  <si>
    <t>3.3</t>
  </si>
  <si>
    <t>3.4</t>
  </si>
  <si>
    <t>4.1</t>
  </si>
  <si>
    <t>calculado no autocad</t>
  </si>
  <si>
    <t>MEMÓRIA DE CÁLCULO DA PAVIMENTAÇÃO DE VENDA NOVA</t>
  </si>
  <si>
    <t>3.5</t>
  </si>
  <si>
    <t>cad</t>
  </si>
  <si>
    <t>ART 14201700000004064222</t>
  </si>
  <si>
    <t>QUADRO DE COMPOSIÇÃO DO INVESTIMENTO</t>
  </si>
  <si>
    <t>1 - IDENTIFICAÇÃO</t>
  </si>
  <si>
    <t>Programa:                                            Contrato de Repasse nº</t>
  </si>
  <si>
    <t>Município/UF: Piranga - Minas Gerais</t>
  </si>
  <si>
    <t>2 - COMPOSIÇÃO DO INVESTIMENTO</t>
  </si>
  <si>
    <t>META</t>
  </si>
  <si>
    <t>DISCRIMINAÇÃO DOS SERVIÇOS</t>
  </si>
  <si>
    <t>CONTRAPARTIDA</t>
  </si>
  <si>
    <t>REGIME</t>
  </si>
  <si>
    <t>FORMA</t>
  </si>
  <si>
    <t>EG</t>
  </si>
  <si>
    <t>TOTAL GERAL</t>
  </si>
  <si>
    <t>PERCENTUAL DE PARTICIPAÇÃO</t>
  </si>
  <si>
    <t>I</t>
  </si>
  <si>
    <t>Piranga,  09 de setembro de 2017</t>
  </si>
  <si>
    <t xml:space="preserve">Eustáquio Antônio Veiga de Souza
</t>
  </si>
  <si>
    <t>Engenheiro civil - CREA/MG 54969/D</t>
  </si>
  <si>
    <t>REPASSE (SEGOV)</t>
  </si>
  <si>
    <t>Endereço/Comunidade de Venda Nova</t>
  </si>
  <si>
    <t>BDI</t>
  </si>
  <si>
    <t>PIS</t>
  </si>
  <si>
    <t>1065,0 x 0,1</t>
  </si>
  <si>
    <t>11,53+46,57+25,91+15,1+8,86+9,52+5,95+5,32+14,55+13,53+14,38+50,25+9,17+1,79+16,7+17,28+16,72+9,39+23,4+24,21</t>
  </si>
  <si>
    <t>11,53+46,57+25,91+15,1+8,86+9,52+5,95+5,32+14,55+13,53+14,38+50,25+9,17+1,79+16,7+17,28+16,72+9,39+23,4+24,21+60</t>
  </si>
  <si>
    <t>((240/30) X 2)) + (60/5)</t>
  </si>
  <si>
    <t>RE</t>
  </si>
  <si>
    <t>PREFEITURA MUNICIPAL DE PIRANGA</t>
  </si>
  <si>
    <t>PREÇO UNITÁRIO C/ BDI</t>
  </si>
  <si>
    <t xml:space="preserve">VALOR UNITÁRIO </t>
  </si>
  <si>
    <t>REFERÊNCIA</t>
  </si>
  <si>
    <t>SETOP</t>
  </si>
  <si>
    <t>ENGENHEIRO CIVIL JUNIOR COM ENCARGOS COMPLEMENTARES</t>
  </si>
  <si>
    <t>SINAPI</t>
  </si>
  <si>
    <t>SERVIÇOS PRELIMINARES / ADMINISTRAÇÃO LOCAL</t>
  </si>
  <si>
    <t>H</t>
  </si>
  <si>
    <t>2.0</t>
  </si>
  <si>
    <t>1.0</t>
  </si>
  <si>
    <t>3.0</t>
  </si>
  <si>
    <t>M²</t>
  </si>
  <si>
    <t>M³</t>
  </si>
  <si>
    <t>SUB-TOTAL</t>
  </si>
  <si>
    <t>EVENTO</t>
  </si>
  <si>
    <t>4.0</t>
  </si>
  <si>
    <t>5.0</t>
  </si>
  <si>
    <t>FORNECIMENTO E COLOCAÇÃO DE PLACA DE OBRA EM CHAPA GALVANIZADA (3,00 X 1,50M ) -EM CHAPA GALVANIZADA 0,26 AFIXADAS COM REBITES 540 E PARAFUSOS 3/8, EM ESTRUTURA METÁLICA VIGA U 2" ENRIJECIDA COM METALON 20 X 20, SUPORTE EM EUCALIPTO AUTOCLAVADO PINTADAS (MODELO PMP)</t>
  </si>
  <si>
    <t>6.0</t>
  </si>
  <si>
    <r>
      <t xml:space="preserve">PRAZO DE EXECUÇÃO:  </t>
    </r>
    <r>
      <rPr>
        <sz val="10"/>
        <rFont val="Arial Narrow"/>
        <family val="2"/>
      </rPr>
      <t>02 MESES</t>
    </r>
  </si>
  <si>
    <t>7.0</t>
  </si>
  <si>
    <t>BDI (CONFORME ACÓRDÃO Nº 2622/13 e LEI Nº 13.161 DE 31/08/15)</t>
  </si>
  <si>
    <t>DISCRIMINAÇÃO DAS PARCELAS</t>
  </si>
  <si>
    <t>SIGLA</t>
  </si>
  <si>
    <t>INCIDÊNCIA</t>
  </si>
  <si>
    <t>CUSTO DIRETO</t>
  </si>
  <si>
    <t>CD</t>
  </si>
  <si>
    <t>ADMINISTRAÇÃO CENTRAL</t>
  </si>
  <si>
    <t>AC</t>
  </si>
  <si>
    <t>LUCRO</t>
  </si>
  <si>
    <t>L</t>
  </si>
  <si>
    <t>DESPESAS FINANCEIRAS</t>
  </si>
  <si>
    <t>DF</t>
  </si>
  <si>
    <t>SEGUROS, GARANTIAS E RISCO</t>
  </si>
  <si>
    <t>SEGUROS + GARANTIAS</t>
  </si>
  <si>
    <t>S</t>
  </si>
  <si>
    <t>RISCO(*)</t>
  </si>
  <si>
    <t>R</t>
  </si>
  <si>
    <t>TRIBUTOS</t>
  </si>
  <si>
    <t>PV</t>
  </si>
  <si>
    <t>ISS</t>
  </si>
  <si>
    <t>COFINS</t>
  </si>
  <si>
    <t>CPRB</t>
  </si>
  <si>
    <t>INSS</t>
  </si>
  <si>
    <t>FÓRMULA DO BDI</t>
  </si>
  <si>
    <t>BDI      =</t>
  </si>
  <si>
    <t>(1 + (AC + S + G + R)) x (1 + DF) x  (1 + L)</t>
  </si>
  <si>
    <t>(1 - (I + CPRB))</t>
  </si>
  <si>
    <t>BDI(NUMERADOR)</t>
  </si>
  <si>
    <t>BDI(DENOMINADOR)</t>
  </si>
  <si>
    <t>OBSERVAÇÕES</t>
  </si>
  <si>
    <t>QUANTO AO ISS O TCU MANDA OBSERVAR A LEGISLAÇÃO DO MUNICÍPIO. NO REFERIDO ACÓRDÃO O TCU PARTIU DA PREMISSA DE INCIDÊNCIA DO ISS EM 50% DO PREÇO DE VENDA, COM PERCENTUAIS DE 2%, 3% E 5%.</t>
  </si>
  <si>
    <t>DEMOSTRATIVO DO BDI</t>
  </si>
  <si>
    <t>ROBSON DE SOUZA TEIXEIRA</t>
  </si>
  <si>
    <t>ENGENHEIRO CIVIL</t>
  </si>
  <si>
    <t>CREA MG 201.941/D</t>
  </si>
  <si>
    <t xml:space="preserve">VALOR TOTAL </t>
  </si>
  <si>
    <t>MOBILIZAÇÃO</t>
  </si>
  <si>
    <t>MOBILIZAÇÃO, IMPLANTAÇÃO E DESMOBILIZAÇÃO DE CANTEIRO DE OBRAS</t>
  </si>
  <si>
    <t>%</t>
  </si>
  <si>
    <t xml:space="preserve">VALOR TOTAL GERAL </t>
  </si>
  <si>
    <t>LIMPEZA FINAL PARA ENTREGA DA OBRA</t>
  </si>
  <si>
    <r>
      <t xml:space="preserve">DATA: </t>
    </r>
    <r>
      <rPr>
        <sz val="10"/>
        <rFont val="Arial Narrow"/>
        <family val="2"/>
      </rPr>
      <t>19/03/2021</t>
    </r>
  </si>
  <si>
    <t>DEMOLIÇÃO DE ALVENARIA PARA QUALQUER TIPO DE BLOCO, DE FORMA MECANIZADA, SEM REAPROVEITAMENTO. AF_12/2017</t>
  </si>
  <si>
    <t>8.1</t>
  </si>
  <si>
    <t>8.0</t>
  </si>
  <si>
    <t>(ISS = 5%)</t>
  </si>
  <si>
    <r>
      <t xml:space="preserve">LOCALIZAÇÃO:  </t>
    </r>
    <r>
      <rPr>
        <sz val="10"/>
        <rFont val="Arial Narrow"/>
        <family val="2"/>
      </rPr>
      <t>LAT.: -20.687810°   LONG.: -43.297288°</t>
    </r>
  </si>
  <si>
    <t>ED-16660</t>
  </si>
  <si>
    <r>
      <t xml:space="preserve">LOCALIZAÇÃO:  </t>
    </r>
    <r>
      <rPr>
        <sz val="10"/>
        <rFont val="Arial Narrow"/>
        <family val="2"/>
      </rPr>
      <t xml:space="preserve"> LAT.: -20.687810°   LONG.: -43.297288°</t>
    </r>
  </si>
  <si>
    <r>
      <t xml:space="preserve">R.T.: </t>
    </r>
    <r>
      <rPr>
        <sz val="10"/>
        <rFont val="Arial Narrow"/>
        <family val="2"/>
      </rPr>
      <t>ROBSON DE SOUZA TEIXEIRA - CREA MG 201.941/D</t>
    </r>
  </si>
  <si>
    <t>DEMOLIÇÃO DE PASSEIO OU LAJE DE CONCRETO COM EQUIPAMENTO PNEUMÁTICO, INCLUSIVE AFASTAMENTO</t>
  </si>
  <si>
    <t>DEM-PIS-040</t>
  </si>
  <si>
    <t>ESCAVAÇÃO MANUAL DE VALA COM PROFUNDIDADE MENOR OU IGUAL A 1,30 M. AF_02/2021</t>
  </si>
  <si>
    <t>REATERRO MANUAL DE VALAS COM COMPACTAÇÃO MECANIZADA. AF_04/2016</t>
  </si>
  <si>
    <t>PREPARO DE FUNDO DE VALA COM LARGURA MENOR QUE 1,5 M (ACERTO DO SOLO NATURAL). AF_08/2020</t>
  </si>
  <si>
    <t>ESCORAMENTO DE VALA, TIPO PONTALETEAMENTO, COM PROFUNDIDADE DE 3,0 A 4,5 M, LARGURA MAIOR OU IGUAL A 1,5 M E MENOR QUE 2,5 M. AF_08/2020</t>
  </si>
  <si>
    <t>TUBO DE PEAD CORRUGADO DE DUPLA PAREDE PARA REDE COLETORA DE ESGOTO, DN 600 MM, JUNTA ELÁSTICA INTEGRADA - FORNECIMENTO E ASSENTAMENTO. AF_01/2021</t>
  </si>
  <si>
    <t>M</t>
  </si>
  <si>
    <t>LASTRO DE CONCRETO MAGRO, INCLUSIVE TRANSPORTE, LANÇAMENTO E ADENSAMENTO</t>
  </si>
  <si>
    <t>FUN-LAS-005</t>
  </si>
  <si>
    <t>LASTRO DE AREIA</t>
  </si>
  <si>
    <t>FUN-LAS-015</t>
  </si>
  <si>
    <t>PLANTIO DE GRAMA EM PLACAS. AF_05/2018</t>
  </si>
  <si>
    <r>
      <t xml:space="preserve">REFERÊNCIAS: </t>
    </r>
    <r>
      <rPr>
        <sz val="10"/>
        <rFont val="Arial Narrow"/>
        <family val="2"/>
      </rPr>
      <t>SETOP COM DESONERAÇÃO - JANEIRO/2021 / SINAPI  COM DESONERAÇÃO - FEVEREIRO/2021 / CPU PMP MARÇO/2021</t>
    </r>
  </si>
  <si>
    <r>
      <t>REFERÊNCIAS:</t>
    </r>
    <r>
      <rPr>
        <sz val="10"/>
        <rFont val="Arial Narrow"/>
        <family val="2"/>
      </rPr>
      <t xml:space="preserve"> SETOP COM DESONERAÇÃO - JANEIRO/2021 / SINAPI  COM DESONERAÇÃO - FEVEREIRO/2021 / CPU PMP MARÇO/2021</t>
    </r>
  </si>
  <si>
    <t>MURO DE ARRIMO EM GABIÃO CAIXA, TELA REVESTIDA COM PVC (EXECUÇÃO, INCLUINDO FORNECIMENTO DE TODOS OS
MATERIAIS)</t>
  </si>
  <si>
    <t>OBR-VIA-100</t>
  </si>
  <si>
    <t>ALVENARIA DE EMBASAMENTO COM BLOCO ESTRUTURAL DE CONCRETO, DE 14X19X29 CM E ARGAMASSA DE ASSENTAMENTO COM PREPARO EM BETONEIRA. AF_05/2020</t>
  </si>
  <si>
    <t>ATERRO MANUAL DE VALAS COM SOLO ARGILO-ARENOSO E COMPACTAÇÃO MECANIZADA. AF_05/2016</t>
  </si>
  <si>
    <t>TUBO DE PVC PARA REDE COLETORA DE ESGOTO DE PAREDE MACIÇA, DN 150 MM,JUNTA ELÁSTICA - FORNECIMENTO E ASSENTAMENTO. AF_01/2021</t>
  </si>
  <si>
    <t>EXECUÇÃO DE PASSEIO (CALÇADA) OU PISO DE CONCRETO COM CONCRETO MOLDADO IN LOCO, USINADO, ACABAMENTO CONVENCIONAL, NÃO ARMADO. AF_07/2016</t>
  </si>
  <si>
    <t>TUBO DE CONCRETO PARA REDES COLETORAS DE ESGOTO SANITÁRIO, DIÂMETRO DE 600 MM, JUNTA ELÁSTICA, INSTALADO EM LOCAL COM BAIXO NÍVEL DE INTERFERÊNCIAS - FORNECIMENTO E ASSENTAMENTO. AF_12/2015</t>
  </si>
  <si>
    <t>2.2</t>
  </si>
  <si>
    <t>3.6</t>
  </si>
  <si>
    <t>3.7</t>
  </si>
  <si>
    <t>4.2</t>
  </si>
  <si>
    <t>4.3</t>
  </si>
  <si>
    <t>4.4</t>
  </si>
  <si>
    <t>5.1</t>
  </si>
  <si>
    <t>5.2</t>
  </si>
  <si>
    <t>5.3</t>
  </si>
  <si>
    <t>5.4</t>
  </si>
  <si>
    <t>6.1</t>
  </si>
  <si>
    <t>7.1</t>
  </si>
  <si>
    <t>MOB-DES-020</t>
  </si>
  <si>
    <t>SUDECAP</t>
  </si>
  <si>
    <t>19.15.05</t>
  </si>
  <si>
    <t>MURO DIVISÓRIO EM BLOCO DE CONCRETO COM ACABAMENTO APARENTE, ESP.15CM, ALTURA DE 220CM, COM SAPATA EM CONCRETO ARMADO , DIMENSÃO (50X55)CM, FORMA EM CONTRA BARRANCO, INCLUSIVE ESCAVAÇÃO COM TRANSPORTE E RETIRADA DO MATERIAL ESCAVADO (EM CAÇAMBA) E PINGADEIRA EM CONCRETO</t>
  </si>
  <si>
    <t>MUR-BLO-010</t>
  </si>
  <si>
    <t>19.24.04</t>
  </si>
  <si>
    <t>4.5</t>
  </si>
  <si>
    <t>5.5</t>
  </si>
  <si>
    <t>19.30.04</t>
  </si>
  <si>
    <t>SARJETA - PADRAO SUDECAP TIPO A - (50X10)CM - DES-R01</t>
  </si>
  <si>
    <t>DESCIDA D'AGUA TIPO CALHA - PADRAO SUDECAP D=  700 MM</t>
  </si>
  <si>
    <t>CAIXA DE PASSAGEM TIPO A - PADRÃO SUDECAP D=  800 MM</t>
  </si>
  <si>
    <t>EVENTO 01</t>
  </si>
  <si>
    <t>EVENTO 02</t>
  </si>
  <si>
    <t>5.6</t>
  </si>
  <si>
    <t>LASTRO COM MATERIAL GRANULAR (PEDRA BRITADA N.1 E
PEDRA BRITADA N.2),APLICADO EM PISOS OU RADIERS,
ESPESSURA DE *10 CM*. AF_07/2019</t>
  </si>
  <si>
    <r>
      <t xml:space="preserve">LOCALIZAÇÃO:  </t>
    </r>
    <r>
      <rPr>
        <sz val="10"/>
        <rFont val="Arial Narrow"/>
        <family val="2"/>
      </rPr>
      <t>LAT.: -20.687810°   LONG.: -43.297288°</t>
    </r>
    <r>
      <rPr>
        <b/>
        <sz val="10"/>
        <rFont val="Arial Narrow"/>
        <family val="2"/>
      </rPr>
      <t xml:space="preserve"> / </t>
    </r>
  </si>
  <si>
    <t>PONTO 01</t>
  </si>
  <si>
    <t>PONTO 02</t>
  </si>
  <si>
    <t>DEMOLIÇÃO DE REVESTIMENTO CERÂMICO, DE FORMA MECANIZADA COM MARTELETE, SEM REAPROVEITAMENTO. AF_12/2017</t>
  </si>
  <si>
    <t>8.2</t>
  </si>
  <si>
    <t>9.0</t>
  </si>
  <si>
    <t>9.1</t>
  </si>
  <si>
    <t>9.2</t>
  </si>
  <si>
    <t>9.3</t>
  </si>
  <si>
    <t>9.4</t>
  </si>
  <si>
    <t>9.5</t>
  </si>
  <si>
    <t>10.0</t>
  </si>
  <si>
    <t>10.2</t>
  </si>
  <si>
    <t>10.3</t>
  </si>
  <si>
    <t>10.4</t>
  </si>
  <si>
    <t>11.0</t>
  </si>
  <si>
    <t>11.1</t>
  </si>
  <si>
    <t>11.2</t>
  </si>
  <si>
    <t>11.3</t>
  </si>
  <si>
    <t>12.0</t>
  </si>
  <si>
    <t>12.1</t>
  </si>
  <si>
    <t>CONTRAPISO DESEMPENADO COM ARGAMASSA, TRAÇO 1:3 (CIMENTO E AREIA), ESP. 20MM</t>
  </si>
  <si>
    <t>PIS-CON-005</t>
  </si>
  <si>
    <t>REVESTIMENTO COM CERÂMICA APLICADO EM PISO, ACABAMENTO ESMALTADO, AMBIENTE EXTERNO (ANTIDERRAPANTE), PADRÃO EXTRA, DIMENSÃO DA PEÇA ATÉ 2025 CM2, PEI V, ASSENTAMENTO COM ARGAMASSA INDUSTRIALIZADA, INCLUSIVE REJUNTAMENTO</t>
  </si>
  <si>
    <t>PIS-CER-015</t>
  </si>
  <si>
    <t>13.0</t>
  </si>
  <si>
    <t>13.1</t>
  </si>
  <si>
    <t>DEMOLIÇÕES E REMOÇÕES (PONTO 01)</t>
  </si>
  <si>
    <t>MOVIMENTAÇÕES DE TERRA (PONTO 01)</t>
  </si>
  <si>
    <t>TUBULAÇÃO E CAIXAS (PONTO 01)</t>
  </si>
  <si>
    <t>MURO / PISO (PONTO 01)</t>
  </si>
  <si>
    <t>REVEGETAÇÃO (PONTO 01)</t>
  </si>
  <si>
    <t>LIMPEZA GERAL DE OBRA (PONTO 01)</t>
  </si>
  <si>
    <t>DEMOLIÇÕES E REMOÇÕES (PONTO 02)</t>
  </si>
  <si>
    <t>MOVIMENTAÇÕES DE TERRA (PONTO 02)</t>
  </si>
  <si>
    <t>TUBULAÇÃO E CAIXAS (PONTO 02)</t>
  </si>
  <si>
    <t>PISO (PONTO 02)</t>
  </si>
  <si>
    <t>LIMPEZA GERAL DE OBRA (PONTO 02)</t>
  </si>
  <si>
    <r>
      <t xml:space="preserve">OBRA: </t>
    </r>
    <r>
      <rPr>
        <sz val="10"/>
        <rFont val="Arial Narrow"/>
        <family val="2"/>
      </rPr>
      <t>EXECUÇÃO DE REDE DE DRENAGEM PLUVIAL E ESGOTO</t>
    </r>
  </si>
  <si>
    <r>
      <t>OBRA:</t>
    </r>
    <r>
      <rPr>
        <sz val="10"/>
        <rFont val="Arial Narrow"/>
        <family val="2"/>
      </rPr>
      <t xml:space="preserve"> EXECUÇÃO DE REDE DE DRENAGEM PLUVIAL E ESGOTO</t>
    </r>
  </si>
  <si>
    <r>
      <t xml:space="preserve">OBRA: </t>
    </r>
    <r>
      <rPr>
        <sz val="10"/>
        <rFont val="Arial Narrow"/>
        <family val="2"/>
      </rPr>
      <t>EXECUÇÃO DE REDE DE DRENAGEM  PLUVIAL E ESGOTO</t>
    </r>
  </si>
  <si>
    <r>
      <t xml:space="preserve">LOCAL: </t>
    </r>
    <r>
      <rPr>
        <sz val="10"/>
        <rFont val="Arial Narrow"/>
        <family val="2"/>
      </rPr>
      <t>BAIRRO CÔNEGO RENATO - PIRANGA-MG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</si>
</sst>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_(&quot;R$ &quot;* #,##0.00_);_(&quot;R$ &quot;* \(#,##0.00\);_(&quot;R$ &quot;* &quot;-&quot;??_);_(@_)"/>
    <numFmt numFmtId="167" formatCode="0.0000%"/>
    <numFmt numFmtId="168" formatCode="_(* #,##0.00_);_(* \(#,##0.00\);_(* &quot;-&quot;??_);_(@_)"/>
    <numFmt numFmtId="169" formatCode="0.000000%"/>
    <numFmt numFmtId="170" formatCode="&quot;R$&quot;#,##0.00"/>
    <numFmt numFmtId="171" formatCode="0.000%"/>
  </numFmts>
  <fonts count="59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b/>
      <sz val="16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color rgb="FF000000"/>
      <name val="Arial Narrow"/>
      <family val="2"/>
    </font>
    <font>
      <b/>
      <sz val="18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8"/>
      <color rgb="FF000000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b/>
      <sz val="8"/>
      <color rgb="FFFF0000"/>
      <name val="Arial Narrow"/>
      <family val="2"/>
    </font>
    <font>
      <sz val="8"/>
      <name val="Arial Narrow"/>
      <family val="2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0"/>
      <name val="Arial"/>
      <family val="2"/>
      <charset val="1"/>
    </font>
    <font>
      <b/>
      <i/>
      <sz val="12"/>
      <color indexed="8"/>
      <name val="Arial"/>
      <family val="2"/>
      <charset val="1"/>
    </font>
    <font>
      <sz val="12"/>
      <name val="Arial"/>
      <family val="2"/>
      <charset val="1"/>
    </font>
    <font>
      <sz val="8"/>
      <color theme="1"/>
      <name val="Arial Narrow"/>
      <family val="2"/>
    </font>
    <font>
      <b/>
      <sz val="8"/>
      <name val="Arial"/>
      <family val="2"/>
    </font>
    <font>
      <sz val="8"/>
      <name val="Arial"/>
      <family val="2"/>
      <charset val="1"/>
    </font>
    <font>
      <sz val="10"/>
      <color theme="1"/>
      <name val="Arial Narrow"/>
      <family val="2"/>
    </font>
    <font>
      <b/>
      <i/>
      <u/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15"/>
        <bgColor indexed="9"/>
      </patternFill>
    </fill>
    <fill>
      <patternFill patternType="solid">
        <fgColor indexed="22"/>
        <bgColor indexed="3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9" fontId="51" fillId="0" borderId="0" applyFill="0" applyBorder="0" applyAlignment="0" applyProtection="0"/>
    <xf numFmtId="0" fontId="51" fillId="0" borderId="0"/>
  </cellStyleXfs>
  <cellXfs count="36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9" fontId="0" fillId="0" borderId="0" xfId="0" applyNumberFormat="1"/>
    <xf numFmtId="2" fontId="9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0" xfId="0" applyNumberFormat="1"/>
    <xf numFmtId="0" fontId="12" fillId="0" borderId="0" xfId="0" applyFont="1"/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0" applyFont="1"/>
    <xf numFmtId="0" fontId="0" fillId="5" borderId="0" xfId="0" applyFill="1"/>
    <xf numFmtId="0" fontId="11" fillId="5" borderId="0" xfId="0" applyFont="1" applyFill="1"/>
    <xf numFmtId="0" fontId="11" fillId="5" borderId="1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0" fontId="0" fillId="5" borderId="20" xfId="0" applyFill="1" applyBorder="1" applyAlignment="1">
      <alignment horizontal="center" wrapText="1"/>
    </xf>
    <xf numFmtId="0" fontId="11" fillId="5" borderId="2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2" fillId="0" borderId="0" xfId="0" applyFont="1" applyBorder="1" applyAlignment="1">
      <alignment horizontal="left" wrapText="1"/>
    </xf>
    <xf numFmtId="166" fontId="7" fillId="0" borderId="0" xfId="0" applyNumberFormat="1" applyFont="1" applyBorder="1" applyAlignment="1">
      <alignment wrapText="1"/>
    </xf>
    <xf numFmtId="0" fontId="23" fillId="0" borderId="0" xfId="0" applyFont="1" applyBorder="1" applyAlignment="1">
      <alignment wrapText="1"/>
    </xf>
    <xf numFmtId="4" fontId="24" fillId="0" borderId="0" xfId="0" applyNumberFormat="1" applyFont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167" fontId="20" fillId="0" borderId="0" xfId="0" applyNumberFormat="1" applyFont="1" applyFill="1" applyBorder="1" applyAlignment="1">
      <alignment wrapText="1"/>
    </xf>
    <xf numFmtId="168" fontId="7" fillId="0" borderId="0" xfId="4" applyNumberFormat="1" applyFont="1" applyFill="1" applyBorder="1" applyAlignment="1">
      <alignment wrapText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justify" vertical="center"/>
      <protection hidden="1"/>
    </xf>
    <xf numFmtId="164" fontId="4" fillId="6" borderId="1" xfId="1" applyFont="1" applyFill="1" applyBorder="1" applyAlignment="1">
      <alignment horizontal="right" vertical="center" wrapText="1" indent="1"/>
    </xf>
    <xf numFmtId="0" fontId="22" fillId="0" borderId="0" xfId="0" applyFont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4" fontId="25" fillId="0" borderId="0" xfId="0" applyNumberFormat="1" applyFont="1" applyFill="1" applyBorder="1" applyAlignment="1">
      <alignment horizontal="right" vertical="center" wrapText="1" indent="1"/>
    </xf>
    <xf numFmtId="4" fontId="22" fillId="0" borderId="0" xfId="0" applyNumberFormat="1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164" fontId="7" fillId="0" borderId="1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9" fontId="22" fillId="0" borderId="0" xfId="2" applyNumberFormat="1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" fontId="22" fillId="0" borderId="0" xfId="0" applyNumberFormat="1" applyFont="1" applyBorder="1" applyAlignment="1">
      <alignment wrapText="1"/>
    </xf>
    <xf numFmtId="0" fontId="4" fillId="2" borderId="11" xfId="0" applyFont="1" applyFill="1" applyBorder="1" applyAlignment="1" applyProtection="1">
      <alignment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vertical="center" wrapText="1"/>
    </xf>
    <xf numFmtId="168" fontId="7" fillId="2" borderId="1" xfId="4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16" fillId="6" borderId="1" xfId="0" applyNumberFormat="1" applyFont="1" applyFill="1" applyBorder="1" applyAlignment="1">
      <alignment horizontal="center" vertical="center" wrapText="1"/>
    </xf>
    <xf numFmtId="10" fontId="21" fillId="0" borderId="1" xfId="2" applyNumberFormat="1" applyFont="1" applyFill="1" applyBorder="1" applyAlignment="1">
      <alignment horizontal="center" vertical="center" wrapText="1"/>
    </xf>
    <xf numFmtId="10" fontId="21" fillId="0" borderId="1" xfId="0" applyNumberFormat="1" applyFont="1" applyFill="1" applyBorder="1" applyAlignment="1">
      <alignment horizontal="center" wrapText="1"/>
    </xf>
    <xf numFmtId="0" fontId="4" fillId="0" borderId="13" xfId="0" applyFont="1" applyFill="1" applyBorder="1" applyAlignment="1" applyProtection="1">
      <alignment vertical="center"/>
      <protection hidden="1"/>
    </xf>
    <xf numFmtId="49" fontId="10" fillId="0" borderId="0" xfId="0" applyNumberFormat="1" applyFont="1" applyFill="1" applyBorder="1" applyAlignment="1">
      <alignment horizontal="right" wrapText="1"/>
    </xf>
    <xf numFmtId="0" fontId="26" fillId="0" borderId="0" xfId="0" applyFont="1" applyFill="1" applyBorder="1" applyAlignment="1">
      <alignment horizontal="left" wrapText="1"/>
    </xf>
    <xf numFmtId="10" fontId="27" fillId="0" borderId="0" xfId="0" applyNumberFormat="1" applyFont="1" applyFill="1" applyBorder="1" applyAlignment="1">
      <alignment horizontal="center" wrapText="1"/>
    </xf>
    <xf numFmtId="170" fontId="28" fillId="0" borderId="0" xfId="0" applyNumberFormat="1" applyFont="1" applyFill="1" applyBorder="1" applyAlignment="1">
      <alignment horizontal="centerContinuous" wrapText="1"/>
    </xf>
    <xf numFmtId="10" fontId="28" fillId="0" borderId="12" xfId="0" applyNumberFormat="1" applyFont="1" applyFill="1" applyBorder="1" applyAlignment="1">
      <alignment horizontal="centerContinuous" wrapText="1"/>
    </xf>
    <xf numFmtId="0" fontId="21" fillId="0" borderId="12" xfId="0" applyFont="1" applyFill="1" applyBorder="1" applyAlignment="1">
      <alignment wrapText="1"/>
    </xf>
    <xf numFmtId="0" fontId="28" fillId="0" borderId="0" xfId="0" applyFont="1" applyFill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4" fillId="0" borderId="11" xfId="0" applyFont="1" applyFill="1" applyBorder="1" applyAlignment="1" applyProtection="1">
      <alignment vertical="center"/>
      <protection hidden="1"/>
    </xf>
    <xf numFmtId="0" fontId="21" fillId="0" borderId="16" xfId="0" applyFont="1" applyFill="1" applyBorder="1" applyAlignment="1">
      <alignment horizontal="right" wrapText="1"/>
    </xf>
    <xf numFmtId="0" fontId="21" fillId="0" borderId="16" xfId="0" applyFont="1" applyFill="1" applyBorder="1" applyAlignment="1">
      <alignment horizontal="left" wrapText="1"/>
    </xf>
    <xf numFmtId="0" fontId="21" fillId="0" borderId="9" xfId="0" applyFont="1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37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164" fontId="38" fillId="3" borderId="1" xfId="1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left" vertical="top" wrapText="1"/>
    </xf>
    <xf numFmtId="2" fontId="38" fillId="0" borderId="1" xfId="0" applyNumberFormat="1" applyFont="1" applyBorder="1" applyAlignment="1">
      <alignment horizontal="center" vertical="center"/>
    </xf>
    <xf numFmtId="164" fontId="38" fillId="0" borderId="1" xfId="1" applyFont="1" applyBorder="1" applyAlignment="1">
      <alignment vertical="center"/>
    </xf>
    <xf numFmtId="164" fontId="38" fillId="0" borderId="1" xfId="1" applyFont="1" applyBorder="1" applyAlignment="1">
      <alignment horizontal="center" vertical="center"/>
    </xf>
    <xf numFmtId="0" fontId="38" fillId="0" borderId="1" xfId="0" applyFont="1" applyBorder="1" applyAlignment="1">
      <alignment horizontal="left" wrapText="1"/>
    </xf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0" fontId="29" fillId="3" borderId="0" xfId="0" applyFont="1" applyFill="1" applyBorder="1" applyAlignment="1">
      <alignment vertical="center" wrapText="1"/>
    </xf>
    <xf numFmtId="0" fontId="41" fillId="3" borderId="0" xfId="0" applyFont="1" applyFill="1" applyBorder="1" applyAlignment="1"/>
    <xf numFmtId="49" fontId="36" fillId="4" borderId="1" xfId="0" applyNumberFormat="1" applyFont="1" applyFill="1" applyBorder="1" applyAlignment="1">
      <alignment horizontal="center" vertical="top" wrapText="1"/>
    </xf>
    <xf numFmtId="49" fontId="36" fillId="4" borderId="1" xfId="0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49" fontId="48" fillId="4" borderId="1" xfId="0" applyNumberFormat="1" applyFont="1" applyFill="1" applyBorder="1" applyAlignment="1">
      <alignment horizontal="left" vertical="top" wrapText="1"/>
    </xf>
    <xf numFmtId="10" fontId="48" fillId="4" borderId="1" xfId="0" applyNumberFormat="1" applyFont="1" applyFill="1" applyBorder="1" applyAlignment="1">
      <alignment horizontal="center" vertical="center" wrapText="1"/>
    </xf>
    <xf numFmtId="49" fontId="48" fillId="4" borderId="1" xfId="0" applyNumberFormat="1" applyFont="1" applyFill="1" applyBorder="1" applyAlignment="1">
      <alignment horizontal="left" vertical="center" wrapText="1"/>
    </xf>
    <xf numFmtId="164" fontId="48" fillId="4" borderId="1" xfId="1" applyFont="1" applyFill="1" applyBorder="1" applyAlignment="1">
      <alignment horizontal="center" vertical="center" wrapText="1"/>
    </xf>
    <xf numFmtId="49" fontId="48" fillId="4" borderId="1" xfId="0" applyNumberFormat="1" applyFont="1" applyFill="1" applyBorder="1" applyAlignment="1">
      <alignment vertical="top" wrapText="1"/>
    </xf>
    <xf numFmtId="10" fontId="36" fillId="4" borderId="1" xfId="2" applyNumberFormat="1" applyFont="1" applyFill="1" applyBorder="1" applyAlignment="1">
      <alignment horizontal="center" vertical="center" wrapText="1"/>
    </xf>
    <xf numFmtId="10" fontId="48" fillId="0" borderId="1" xfId="0" applyNumberFormat="1" applyFont="1" applyFill="1" applyBorder="1" applyAlignment="1">
      <alignment horizontal="center" vertical="center" wrapText="1"/>
    </xf>
    <xf numFmtId="164" fontId="48" fillId="0" borderId="1" xfId="1" applyFont="1" applyFill="1" applyBorder="1" applyAlignment="1">
      <alignment horizontal="center" vertical="center" wrapText="1"/>
    </xf>
    <xf numFmtId="10" fontId="36" fillId="0" borderId="1" xfId="2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29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2" fillId="3" borderId="0" xfId="0" applyFont="1" applyFill="1" applyBorder="1" applyAlignment="1">
      <alignment wrapText="1"/>
    </xf>
    <xf numFmtId="0" fontId="40" fillId="3" borderId="0" xfId="0" applyFont="1" applyFill="1" applyBorder="1"/>
    <xf numFmtId="0" fontId="40" fillId="3" borderId="0" xfId="0" applyFont="1" applyFill="1" applyBorder="1" applyAlignment="1">
      <alignment vertical="center"/>
    </xf>
    <xf numFmtId="0" fontId="43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wrapText="1"/>
    </xf>
    <xf numFmtId="0" fontId="46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37" fillId="2" borderId="6" xfId="0" applyFont="1" applyFill="1" applyBorder="1" applyAlignment="1"/>
    <xf numFmtId="0" fontId="37" fillId="2" borderId="7" xfId="0" applyFont="1" applyFill="1" applyBorder="1" applyAlignment="1"/>
    <xf numFmtId="0" fontId="39" fillId="2" borderId="16" xfId="0" applyFont="1" applyFill="1" applyBorder="1" applyAlignment="1"/>
    <xf numFmtId="0" fontId="39" fillId="2" borderId="1" xfId="0" applyFont="1" applyFill="1" applyBorder="1" applyAlignment="1"/>
    <xf numFmtId="0" fontId="39" fillId="3" borderId="0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/>
    </xf>
    <xf numFmtId="0" fontId="7" fillId="0" borderId="0" xfId="5"/>
    <xf numFmtId="0" fontId="53" fillId="0" borderId="0" xfId="5" applyFont="1"/>
    <xf numFmtId="0" fontId="53" fillId="0" borderId="0" xfId="5" applyFont="1" applyAlignment="1">
      <alignment horizontal="center"/>
    </xf>
    <xf numFmtId="0" fontId="15" fillId="0" borderId="0" xfId="5" applyFont="1"/>
    <xf numFmtId="0" fontId="4" fillId="0" borderId="0" xfId="5" applyFont="1"/>
    <xf numFmtId="10" fontId="49" fillId="0" borderId="1" xfId="6" applyNumberFormat="1" applyFont="1" applyBorder="1" applyAlignment="1">
      <alignment horizontal="center" vertical="center"/>
    </xf>
    <xf numFmtId="10" fontId="50" fillId="0" borderId="1" xfId="7" applyNumberFormat="1" applyFont="1" applyFill="1" applyBorder="1" applyAlignment="1" applyProtection="1">
      <alignment horizontal="center" vertical="center"/>
    </xf>
    <xf numFmtId="10" fontId="50" fillId="0" borderId="1" xfId="6" applyNumberFormat="1" applyFont="1" applyBorder="1" applyAlignment="1">
      <alignment horizontal="center" vertical="center"/>
    </xf>
    <xf numFmtId="10" fontId="49" fillId="0" borderId="1" xfId="7" applyNumberFormat="1" applyFont="1" applyFill="1" applyBorder="1" applyAlignment="1" applyProtection="1">
      <alignment horizontal="center" vertical="center"/>
    </xf>
    <xf numFmtId="0" fontId="50" fillId="0" borderId="1" xfId="6" applyFont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47" fillId="3" borderId="0" xfId="0" applyFont="1" applyFill="1" applyBorder="1" applyAlignment="1"/>
    <xf numFmtId="0" fontId="47" fillId="3" borderId="0" xfId="0" applyFont="1" applyFill="1" applyBorder="1" applyAlignment="1">
      <alignment vertical="center"/>
    </xf>
    <xf numFmtId="0" fontId="7" fillId="0" borderId="0" xfId="5" applyBorder="1"/>
    <xf numFmtId="0" fontId="7" fillId="0" borderId="0" xfId="5" applyNumberFormat="1"/>
    <xf numFmtId="0" fontId="54" fillId="3" borderId="0" xfId="0" applyFont="1" applyFill="1" applyBorder="1" applyAlignment="1"/>
    <xf numFmtId="0" fontId="54" fillId="3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/>
    </xf>
    <xf numFmtId="0" fontId="39" fillId="0" borderId="9" xfId="0" applyFont="1" applyBorder="1" applyAlignment="1">
      <alignment vertical="center"/>
    </xf>
    <xf numFmtId="0" fontId="39" fillId="4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/>
    </xf>
    <xf numFmtId="0" fontId="37" fillId="2" borderId="30" xfId="0" applyFont="1" applyFill="1" applyBorder="1" applyAlignment="1"/>
    <xf numFmtId="0" fontId="38" fillId="0" borderId="27" xfId="0" applyFont="1" applyBorder="1" applyAlignment="1">
      <alignment horizontal="center" vertical="center"/>
    </xf>
    <xf numFmtId="164" fontId="38" fillId="0" borderId="28" xfId="0" applyNumberFormat="1" applyFont="1" applyBorder="1" applyAlignment="1">
      <alignment vertical="center"/>
    </xf>
    <xf numFmtId="0" fontId="0" fillId="3" borderId="31" xfId="0" applyFill="1" applyBorder="1" applyAlignment="1">
      <alignment horizontal="center"/>
    </xf>
    <xf numFmtId="164" fontId="39" fillId="0" borderId="32" xfId="0" applyNumberFormat="1" applyFont="1" applyBorder="1" applyAlignment="1">
      <alignment vertical="center"/>
    </xf>
    <xf numFmtId="0" fontId="39" fillId="2" borderId="27" xfId="0" applyFont="1" applyFill="1" applyBorder="1" applyAlignment="1">
      <alignment horizontal="center"/>
    </xf>
    <xf numFmtId="0" fontId="39" fillId="2" borderId="30" xfId="0" applyFont="1" applyFill="1" applyBorder="1" applyAlignment="1"/>
    <xf numFmtId="164" fontId="39" fillId="0" borderId="28" xfId="0" applyNumberFormat="1" applyFont="1" applyBorder="1" applyAlignment="1">
      <alignment vertical="center"/>
    </xf>
    <xf numFmtId="164" fontId="37" fillId="2" borderId="28" xfId="0" applyNumberFormat="1" applyFont="1" applyFill="1" applyBorder="1"/>
    <xf numFmtId="164" fontId="0" fillId="3" borderId="33" xfId="0" applyNumberFormat="1" applyFill="1" applyBorder="1"/>
    <xf numFmtId="0" fontId="41" fillId="3" borderId="35" xfId="0" applyFont="1" applyFill="1" applyBorder="1" applyAlignment="1">
      <alignment horizontal="center"/>
    </xf>
    <xf numFmtId="0" fontId="47" fillId="3" borderId="35" xfId="0" applyFont="1" applyFill="1" applyBorder="1" applyAlignment="1">
      <alignment vertical="center"/>
    </xf>
    <xf numFmtId="0" fontId="57" fillId="3" borderId="35" xfId="0" applyFont="1" applyFill="1" applyBorder="1" applyAlignment="1">
      <alignment horizontal="center"/>
    </xf>
    <xf numFmtId="10" fontId="50" fillId="0" borderId="27" xfId="6" applyNumberFormat="1" applyFont="1" applyBorder="1" applyAlignment="1">
      <alignment horizontal="left" vertical="center" wrapText="1"/>
    </xf>
    <xf numFmtId="171" fontId="50" fillId="0" borderId="28" xfId="7" applyNumberFormat="1" applyFont="1" applyFill="1" applyBorder="1" applyAlignment="1" applyProtection="1">
      <alignment horizontal="center" vertical="center"/>
    </xf>
    <xf numFmtId="10" fontId="50" fillId="0" borderId="28" xfId="7" applyNumberFormat="1" applyFont="1" applyFill="1" applyBorder="1" applyAlignment="1" applyProtection="1">
      <alignment horizontal="center" vertical="center"/>
    </xf>
    <xf numFmtId="0" fontId="54" fillId="3" borderId="31" xfId="0" applyFont="1" applyFill="1" applyBorder="1" applyAlignment="1">
      <alignment horizontal="center"/>
    </xf>
    <xf numFmtId="0" fontId="47" fillId="3" borderId="33" xfId="0" applyFont="1" applyFill="1" applyBorder="1" applyAlignment="1"/>
    <xf numFmtId="0" fontId="54" fillId="3" borderId="31" xfId="0" applyFont="1" applyFill="1" applyBorder="1" applyAlignment="1">
      <alignment horizontal="center" vertical="center"/>
    </xf>
    <xf numFmtId="0" fontId="41" fillId="3" borderId="33" xfId="0" applyFont="1" applyFill="1" applyBorder="1" applyAlignment="1"/>
    <xf numFmtId="0" fontId="55" fillId="3" borderId="34" xfId="5" applyFont="1" applyFill="1" applyBorder="1"/>
    <xf numFmtId="0" fontId="55" fillId="3" borderId="35" xfId="5" applyFont="1" applyFill="1" applyBorder="1"/>
    <xf numFmtId="0" fontId="56" fillId="3" borderId="35" xfId="5" applyFont="1" applyFill="1" applyBorder="1" applyAlignment="1">
      <alignment horizontal="center"/>
    </xf>
    <xf numFmtId="0" fontId="53" fillId="3" borderId="36" xfId="5" applyFont="1" applyFill="1" applyBorder="1" applyAlignment="1">
      <alignment horizontal="center"/>
    </xf>
    <xf numFmtId="0" fontId="39" fillId="4" borderId="27" xfId="0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wrapText="1"/>
    </xf>
    <xf numFmtId="0" fontId="40" fillId="3" borderId="33" xfId="0" applyFont="1" applyFill="1" applyBorder="1"/>
    <xf numFmtId="0" fontId="32" fillId="3" borderId="31" xfId="0" applyFont="1" applyFill="1" applyBorder="1"/>
    <xf numFmtId="0" fontId="33" fillId="3" borderId="31" xfId="0" applyFont="1" applyFill="1" applyBorder="1"/>
    <xf numFmtId="0" fontId="40" fillId="3" borderId="31" xfId="0" applyFont="1" applyFill="1" applyBorder="1"/>
    <xf numFmtId="0" fontId="40" fillId="3" borderId="34" xfId="0" applyFont="1" applyFill="1" applyBorder="1"/>
    <xf numFmtId="0" fontId="29" fillId="3" borderId="35" xfId="0" applyFont="1" applyFill="1" applyBorder="1" applyAlignment="1">
      <alignment vertical="center" wrapText="1"/>
    </xf>
    <xf numFmtId="0" fontId="0" fillId="3" borderId="35" xfId="0" applyFill="1" applyBorder="1"/>
    <xf numFmtId="0" fontId="40" fillId="3" borderId="36" xfId="0" applyFont="1" applyFill="1" applyBorder="1"/>
    <xf numFmtId="0" fontId="41" fillId="3" borderId="0" xfId="0" applyFont="1" applyFill="1" applyBorder="1" applyAlignment="1">
      <alignment horizontal="center"/>
    </xf>
    <xf numFmtId="0" fontId="39" fillId="2" borderId="6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39" fillId="2" borderId="7" xfId="0" applyFont="1" applyFill="1" applyBorder="1" applyAlignment="1">
      <alignment horizontal="center"/>
    </xf>
    <xf numFmtId="0" fontId="39" fillId="2" borderId="3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4" fillId="3" borderId="33" xfId="0" applyFont="1" applyFill="1" applyBorder="1" applyAlignment="1">
      <alignment horizontal="center"/>
    </xf>
    <xf numFmtId="171" fontId="49" fillId="0" borderId="28" xfId="7" applyNumberFormat="1" applyFont="1" applyFill="1" applyBorder="1" applyAlignment="1" applyProtection="1">
      <alignment horizontal="center" vertical="center"/>
    </xf>
    <xf numFmtId="4" fontId="53" fillId="0" borderId="1" xfId="8" applyNumberFormat="1" applyFont="1" applyBorder="1" applyAlignment="1">
      <alignment horizontal="center" vertical="center" wrapText="1"/>
    </xf>
    <xf numFmtId="164" fontId="37" fillId="0" borderId="28" xfId="0" applyNumberFormat="1" applyFont="1" applyFill="1" applyBorder="1"/>
    <xf numFmtId="0" fontId="34" fillId="3" borderId="31" xfId="0" applyFont="1" applyFill="1" applyBorder="1" applyAlignment="1">
      <alignment horizontal="right" wrapText="1"/>
    </xf>
    <xf numFmtId="0" fontId="34" fillId="3" borderId="0" xfId="0" applyFont="1" applyFill="1" applyBorder="1" applyAlignment="1">
      <alignment horizontal="right" wrapText="1"/>
    </xf>
    <xf numFmtId="164" fontId="37" fillId="3" borderId="33" xfId="0" applyNumberFormat="1" applyFont="1" applyFill="1" applyBorder="1"/>
    <xf numFmtId="10" fontId="30" fillId="3" borderId="28" xfId="2" applyNumberFormat="1" applyFont="1" applyFill="1" applyBorder="1" applyAlignment="1">
      <alignment horizontal="center" vertical="center"/>
    </xf>
    <xf numFmtId="10" fontId="30" fillId="0" borderId="28" xfId="2" applyNumberFormat="1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/>
    </xf>
    <xf numFmtId="0" fontId="39" fillId="2" borderId="6" xfId="0" applyFont="1" applyFill="1" applyBorder="1" applyAlignment="1"/>
    <xf numFmtId="0" fontId="39" fillId="2" borderId="7" xfId="0" applyFont="1" applyFill="1" applyBorder="1" applyAlignment="1"/>
    <xf numFmtId="0" fontId="39" fillId="2" borderId="8" xfId="0" applyFont="1" applyFill="1" applyBorder="1" applyAlignment="1">
      <alignment horizontal="center"/>
    </xf>
    <xf numFmtId="0" fontId="39" fillId="2" borderId="6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38" fillId="0" borderId="1" xfId="0" applyFont="1" applyBorder="1" applyAlignment="1">
      <alignment vertical="center" wrapText="1"/>
    </xf>
    <xf numFmtId="0" fontId="39" fillId="2" borderId="6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 wrapText="1"/>
    </xf>
    <xf numFmtId="0" fontId="37" fillId="2" borderId="30" xfId="0" applyFont="1" applyFill="1" applyBorder="1" applyAlignment="1">
      <alignment horizontal="center" vertical="center"/>
    </xf>
    <xf numFmtId="0" fontId="37" fillId="2" borderId="1" xfId="0" applyFont="1" applyFill="1" applyBorder="1" applyAlignment="1"/>
    <xf numFmtId="0" fontId="58" fillId="2" borderId="1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30" xfId="0" applyFont="1" applyFill="1" applyBorder="1" applyAlignment="1">
      <alignment horizontal="left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wrapText="1"/>
    </xf>
    <xf numFmtId="0" fontId="30" fillId="0" borderId="26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28" xfId="0" applyFont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left" vertical="center"/>
    </xf>
    <xf numFmtId="0" fontId="32" fillId="3" borderId="1" xfId="0" applyFont="1" applyFill="1" applyBorder="1" applyAlignment="1">
      <alignment horizontal="left" vertical="center"/>
    </xf>
    <xf numFmtId="0" fontId="36" fillId="0" borderId="2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left" vertical="top"/>
    </xf>
    <xf numFmtId="0" fontId="32" fillId="0" borderId="7" xfId="0" applyFont="1" applyFill="1" applyBorder="1" applyAlignment="1">
      <alignment horizontal="left" vertical="top"/>
    </xf>
    <xf numFmtId="0" fontId="32" fillId="0" borderId="30" xfId="0" applyFont="1" applyFill="1" applyBorder="1" applyAlignment="1">
      <alignment horizontal="left" vertical="top"/>
    </xf>
    <xf numFmtId="0" fontId="39" fillId="0" borderId="27" xfId="0" applyFont="1" applyBorder="1" applyAlignment="1">
      <alignment horizontal="right" vertical="center"/>
    </xf>
    <xf numFmtId="0" fontId="39" fillId="0" borderId="1" xfId="0" applyFont="1" applyBorder="1" applyAlignment="1">
      <alignment horizontal="right" vertical="center"/>
    </xf>
    <xf numFmtId="0" fontId="39" fillId="2" borderId="6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41" fillId="3" borderId="34" xfId="0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 vertical="center"/>
    </xf>
    <xf numFmtId="0" fontId="54" fillId="3" borderId="35" xfId="0" applyFont="1" applyFill="1" applyBorder="1" applyAlignment="1">
      <alignment horizontal="center"/>
    </xf>
    <xf numFmtId="0" fontId="54" fillId="3" borderId="36" xfId="0" applyFont="1" applyFill="1" applyBorder="1" applyAlignment="1">
      <alignment horizontal="center"/>
    </xf>
    <xf numFmtId="0" fontId="54" fillId="3" borderId="0" xfId="0" applyFont="1" applyFill="1" applyBorder="1" applyAlignment="1">
      <alignment horizontal="center"/>
    </xf>
    <xf numFmtId="0" fontId="39" fillId="3" borderId="27" xfId="0" applyFont="1" applyFill="1" applyBorder="1" applyAlignment="1">
      <alignment horizontal="right" vertical="center"/>
    </xf>
    <xf numFmtId="0" fontId="39" fillId="3" borderId="1" xfId="0" applyFont="1" applyFill="1" applyBorder="1" applyAlignment="1">
      <alignment horizontal="right" vertical="center"/>
    </xf>
    <xf numFmtId="0" fontId="41" fillId="3" borderId="31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41" fillId="3" borderId="31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4" fillId="2" borderId="29" xfId="0" applyFont="1" applyFill="1" applyBorder="1" applyAlignment="1">
      <alignment horizontal="right" wrapText="1"/>
    </xf>
    <xf numFmtId="0" fontId="34" fillId="2" borderId="7" xfId="0" applyFont="1" applyFill="1" applyBorder="1" applyAlignment="1">
      <alignment horizontal="right" wrapText="1"/>
    </xf>
    <xf numFmtId="0" fontId="34" fillId="2" borderId="8" xfId="0" applyFont="1" applyFill="1" applyBorder="1" applyAlignment="1">
      <alignment horizontal="right" wrapText="1"/>
    </xf>
    <xf numFmtId="0" fontId="49" fillId="8" borderId="1" xfId="6" applyFont="1" applyFill="1" applyBorder="1" applyAlignment="1">
      <alignment horizontal="center" vertical="center"/>
    </xf>
    <xf numFmtId="0" fontId="49" fillId="8" borderId="28" xfId="6" applyFont="1" applyFill="1" applyBorder="1" applyAlignment="1">
      <alignment horizontal="center" vertical="center" wrapText="1"/>
    </xf>
    <xf numFmtId="0" fontId="49" fillId="8" borderId="28" xfId="6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8" xfId="0" applyFont="1" applyFill="1" applyBorder="1" applyAlignment="1">
      <alignment horizontal="left" vertical="center" wrapText="1"/>
    </xf>
    <xf numFmtId="0" fontId="49" fillId="0" borderId="37" xfId="6" applyFont="1" applyBorder="1" applyAlignment="1">
      <alignment horizontal="center" vertical="center"/>
    </xf>
    <xf numFmtId="0" fontId="49" fillId="0" borderId="17" xfId="6" applyFont="1" applyBorder="1" applyAlignment="1">
      <alignment horizontal="center" vertical="center"/>
    </xf>
    <xf numFmtId="0" fontId="49" fillId="0" borderId="38" xfId="6" applyFont="1" applyBorder="1" applyAlignment="1">
      <alignment horizontal="center" vertical="center"/>
    </xf>
    <xf numFmtId="0" fontId="52" fillId="0" borderId="31" xfId="6" applyFont="1" applyBorder="1" applyAlignment="1">
      <alignment horizontal="left" vertical="center" wrapText="1"/>
    </xf>
    <xf numFmtId="0" fontId="52" fillId="0" borderId="0" xfId="6" applyFont="1" applyBorder="1" applyAlignment="1">
      <alignment horizontal="left" vertical="center" wrapText="1"/>
    </xf>
    <xf numFmtId="0" fontId="52" fillId="0" borderId="33" xfId="6" applyFont="1" applyBorder="1" applyAlignment="1">
      <alignment horizontal="left" vertical="center" wrapText="1"/>
    </xf>
    <xf numFmtId="0" fontId="50" fillId="0" borderId="27" xfId="6" applyFont="1" applyBorder="1" applyAlignment="1">
      <alignment horizontal="left" vertical="center"/>
    </xf>
    <xf numFmtId="0" fontId="50" fillId="0" borderId="1" xfId="6" applyFont="1" applyBorder="1" applyAlignment="1">
      <alignment horizontal="left" vertical="center"/>
    </xf>
    <xf numFmtId="0" fontId="50" fillId="0" borderId="28" xfId="6" applyFont="1" applyBorder="1" applyAlignment="1">
      <alignment horizontal="left" vertical="center"/>
    </xf>
    <xf numFmtId="0" fontId="49" fillId="0" borderId="27" xfId="6" applyFont="1" applyBorder="1" applyAlignment="1">
      <alignment horizontal="center" vertical="center"/>
    </xf>
    <xf numFmtId="0" fontId="49" fillId="0" borderId="1" xfId="6" applyFont="1" applyBorder="1" applyAlignment="1">
      <alignment horizontal="center" vertical="center"/>
    </xf>
    <xf numFmtId="0" fontId="50" fillId="0" borderId="27" xfId="6" applyFont="1" applyBorder="1" applyAlignment="1">
      <alignment horizontal="center" vertical="center"/>
    </xf>
    <xf numFmtId="171" fontId="49" fillId="0" borderId="28" xfId="7" applyNumberFormat="1" applyFont="1" applyFill="1" applyBorder="1" applyAlignment="1" applyProtection="1">
      <alignment horizontal="center" vertical="center"/>
    </xf>
    <xf numFmtId="10" fontId="49" fillId="8" borderId="1" xfId="7" applyNumberFormat="1" applyFont="1" applyFill="1" applyBorder="1" applyAlignment="1" applyProtection="1">
      <alignment horizontal="center" vertical="center"/>
    </xf>
    <xf numFmtId="0" fontId="49" fillId="8" borderId="27" xfId="6" applyFont="1" applyFill="1" applyBorder="1" applyAlignment="1">
      <alignment horizontal="center" vertical="center" wrapText="1"/>
    </xf>
    <xf numFmtId="0" fontId="49" fillId="8" borderId="1" xfId="6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2" fontId="39" fillId="4" borderId="1" xfId="0" applyNumberFormat="1" applyFont="1" applyFill="1" applyBorder="1" applyAlignment="1">
      <alignment horizontal="left" vertical="center" wrapText="1"/>
    </xf>
    <xf numFmtId="10" fontId="47" fillId="0" borderId="1" xfId="0" applyNumberFormat="1" applyFont="1" applyBorder="1" applyAlignment="1">
      <alignment horizontal="center"/>
    </xf>
    <xf numFmtId="10" fontId="47" fillId="0" borderId="28" xfId="0" applyNumberFormat="1" applyFont="1" applyBorder="1" applyAlignment="1">
      <alignment horizontal="center"/>
    </xf>
    <xf numFmtId="164" fontId="47" fillId="0" borderId="1" xfId="1" applyFont="1" applyBorder="1" applyAlignment="1">
      <alignment horizontal="center"/>
    </xf>
    <xf numFmtId="164" fontId="47" fillId="0" borderId="28" xfId="1" applyFont="1" applyBorder="1" applyAlignment="1">
      <alignment horizontal="center"/>
    </xf>
    <xf numFmtId="2" fontId="39" fillId="4" borderId="27" xfId="0" applyNumberFormat="1" applyFont="1" applyFill="1" applyBorder="1" applyAlignment="1">
      <alignment horizontal="center" vertical="center" wrapText="1"/>
    </xf>
    <xf numFmtId="10" fontId="37" fillId="0" borderId="1" xfId="2" applyNumberFormat="1" applyFont="1" applyBorder="1" applyAlignment="1">
      <alignment horizontal="center"/>
    </xf>
    <xf numFmtId="10" fontId="37" fillId="0" borderId="28" xfId="2" applyNumberFormat="1" applyFont="1" applyBorder="1" applyAlignment="1">
      <alignment horizontal="center"/>
    </xf>
    <xf numFmtId="0" fontId="44" fillId="3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164" fontId="47" fillId="0" borderId="1" xfId="1" applyFont="1" applyBorder="1" applyAlignment="1">
      <alignment horizontal="right"/>
    </xf>
    <xf numFmtId="164" fontId="47" fillId="0" borderId="28" xfId="1" applyFont="1" applyBorder="1" applyAlignment="1">
      <alignment horizontal="right"/>
    </xf>
    <xf numFmtId="0" fontId="39" fillId="4" borderId="2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165" fontId="37" fillId="0" borderId="1" xfId="0" applyNumberFormat="1" applyFont="1" applyBorder="1" applyAlignment="1">
      <alignment horizontal="center"/>
    </xf>
    <xf numFmtId="165" fontId="37" fillId="0" borderId="28" xfId="0" applyNumberFormat="1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10" fontId="47" fillId="0" borderId="6" xfId="0" applyNumberFormat="1" applyFont="1" applyBorder="1" applyAlignment="1">
      <alignment horizontal="center"/>
    </xf>
    <xf numFmtId="10" fontId="47" fillId="0" borderId="30" xfId="0" applyNumberFormat="1" applyFont="1" applyBorder="1" applyAlignment="1">
      <alignment horizontal="center"/>
    </xf>
    <xf numFmtId="164" fontId="47" fillId="0" borderId="6" xfId="1" applyFont="1" applyBorder="1" applyAlignment="1">
      <alignment horizontal="left"/>
    </xf>
    <xf numFmtId="164" fontId="47" fillId="0" borderId="30" xfId="1" applyFont="1" applyBorder="1" applyAlignment="1">
      <alignment horizontal="left"/>
    </xf>
    <xf numFmtId="10" fontId="47" fillId="0" borderId="6" xfId="0" applyNumberFormat="1" applyFont="1" applyBorder="1" applyAlignment="1">
      <alignment horizontal="center" vertical="center"/>
    </xf>
    <xf numFmtId="10" fontId="47" fillId="0" borderId="30" xfId="0" applyNumberFormat="1" applyFont="1" applyBorder="1" applyAlignment="1">
      <alignment horizontal="center" vertical="center"/>
    </xf>
    <xf numFmtId="164" fontId="47" fillId="0" borderId="6" xfId="1" applyFont="1" applyBorder="1" applyAlignment="1">
      <alignment horizontal="center"/>
    </xf>
    <xf numFmtId="164" fontId="47" fillId="0" borderId="30" xfId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vertical="justify" wrapText="1"/>
    </xf>
    <xf numFmtId="0" fontId="21" fillId="0" borderId="16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left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 applyProtection="1">
      <alignment horizontal="center" vertical="center"/>
      <protection hidden="1"/>
    </xf>
    <xf numFmtId="0" fontId="4" fillId="6" borderId="23" xfId="0" applyFont="1" applyFill="1" applyBorder="1" applyAlignment="1" applyProtection="1">
      <alignment horizontal="center" vertical="center"/>
      <protection hidden="1"/>
    </xf>
    <xf numFmtId="49" fontId="10" fillId="6" borderId="6" xfId="0" applyNumberFormat="1" applyFont="1" applyFill="1" applyBorder="1" applyAlignment="1">
      <alignment horizontal="center" wrapText="1"/>
    </xf>
    <xf numFmtId="49" fontId="10" fillId="6" borderId="7" xfId="0" applyNumberFormat="1" applyFont="1" applyFill="1" applyBorder="1" applyAlignment="1">
      <alignment horizontal="center" wrapText="1"/>
    </xf>
    <xf numFmtId="49" fontId="10" fillId="6" borderId="8" xfId="0" applyNumberFormat="1" applyFont="1" applyFill="1" applyBorder="1" applyAlignment="1">
      <alignment horizontal="center" wrapText="1"/>
    </xf>
    <xf numFmtId="170" fontId="21" fillId="0" borderId="1" xfId="0" applyNumberFormat="1" applyFont="1" applyFill="1" applyBorder="1" applyAlignment="1">
      <alignment horizontal="center" wrapText="1"/>
    </xf>
    <xf numFmtId="49" fontId="10" fillId="0" borderId="6" xfId="0" applyNumberFormat="1" applyFont="1" applyFill="1" applyBorder="1" applyAlignment="1">
      <alignment horizontal="center" wrapText="1"/>
    </xf>
    <xf numFmtId="49" fontId="10" fillId="0" borderId="7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 wrapText="1"/>
    </xf>
    <xf numFmtId="170" fontId="16" fillId="6" borderId="1" xfId="0" applyNumberFormat="1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top" wrapText="1"/>
    </xf>
  </cellXfs>
  <cellStyles count="9">
    <cellStyle name="Moeda" xfId="1" builtinId="4"/>
    <cellStyle name="Normal" xfId="0" builtinId="0"/>
    <cellStyle name="Normal 10" xfId="6" xr:uid="{00000000-0005-0000-0000-000002000000}"/>
    <cellStyle name="Normal 11 2" xfId="5" xr:uid="{00000000-0005-0000-0000-000003000000}"/>
    <cellStyle name="Normal 4" xfId="8" xr:uid="{753DCE77-5BE7-437E-BC5B-1DD5607D475F}"/>
    <cellStyle name="Porcentagem" xfId="2" builtinId="5"/>
    <cellStyle name="Porcentagem 2 2" xfId="7" xr:uid="{00000000-0005-0000-0000-000005000000}"/>
    <cellStyle name="Vírgula" xfId="4" builtinId="3"/>
    <cellStyle name="Vírgula 2 2" xfId="3" xr:uid="{00000000-0005-0000-0000-000007000000}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0</xdr:row>
      <xdr:rowOff>91858</xdr:rowOff>
    </xdr:from>
    <xdr:to>
      <xdr:col>10</xdr:col>
      <xdr:colOff>670891</xdr:colOff>
      <xdr:row>1</xdr:row>
      <xdr:rowOff>159073</xdr:rowOff>
    </xdr:to>
    <xdr:pic>
      <xdr:nvPicPr>
        <xdr:cNvPr id="5" name="Imagem 2" descr="Descrição: Brasão1">
          <a:extLst>
            <a:ext uri="{FF2B5EF4-FFF2-40B4-BE49-F238E27FC236}">
              <a16:creationId xmlns:a16="http://schemas.microsoft.com/office/drawing/2014/main" id="{D2812B46-69F7-4C31-A9C5-6540DA7A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91858"/>
          <a:ext cx="1232866" cy="68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2766391</xdr:colOff>
      <xdr:row>0</xdr:row>
      <xdr:rowOff>111324</xdr:rowOff>
    </xdr:from>
    <xdr:to>
      <xdr:col>3</xdr:col>
      <xdr:colOff>808707</xdr:colOff>
      <xdr:row>0</xdr:row>
      <xdr:rowOff>853108</xdr:rowOff>
    </xdr:to>
    <xdr:pic>
      <xdr:nvPicPr>
        <xdr:cNvPr id="3" name="Imagem 2" descr="Descrição: Brasão1">
          <a:extLst>
            <a:ext uri="{FF2B5EF4-FFF2-40B4-BE49-F238E27FC236}">
              <a16:creationId xmlns:a16="http://schemas.microsoft.com/office/drawing/2014/main" id="{504FB9B1-3219-4CA1-AB6E-5FA19D0F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608" y="111324"/>
          <a:ext cx="924664" cy="741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225287</xdr:colOff>
      <xdr:row>0</xdr:row>
      <xdr:rowOff>53758</xdr:rowOff>
    </xdr:from>
    <xdr:to>
      <xdr:col>7</xdr:col>
      <xdr:colOff>499441</xdr:colOff>
      <xdr:row>1</xdr:row>
      <xdr:rowOff>186449</xdr:rowOff>
    </xdr:to>
    <xdr:pic>
      <xdr:nvPicPr>
        <xdr:cNvPr id="5" name="Imagem 2" descr="Descrição: Brasão1">
          <a:extLst>
            <a:ext uri="{FF2B5EF4-FFF2-40B4-BE49-F238E27FC236}">
              <a16:creationId xmlns:a16="http://schemas.microsoft.com/office/drawing/2014/main" id="{A6660D3E-2F7C-4436-BF54-C0A54CFE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9837" y="53758"/>
          <a:ext cx="1226654" cy="875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SA%202012/COPASA%202012/CODEVASF%20-%20ROSE/JANEIRO/LIGACOES%20INTRADOMICILIARES%20-%20BOM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/Desktop/Projetos%20Eng%20civil/PREFEITURA%20CRISTIANO%20OTONI/pavimenta&#231;&#227;o/MINISTERIO%20CIDADES%20-%20CAIXA/ARQUIVOS%20FINAIS/PLANILHA%20M&#218;LTIPLA%202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tura"/>
      <sheetName val="Orçamento Sintético"/>
      <sheetName val="Orçamento Analítico"/>
      <sheetName val="Cronograma"/>
      <sheetName val="BDI - SERVIÇOS"/>
      <sheetName val="BDI - MAT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CRONOGRAMA FÍSICO-FINANCEIRO</v>
          </cell>
        </row>
        <row r="4">
          <cell r="A4" t="str">
            <v>BOM DESPACHO - MG</v>
          </cell>
        </row>
        <row r="5">
          <cell r="A5" t="str">
            <v>OBRA: LIGAÇÕES INTRADOMICILIARES -  BOM DESPACHO</v>
          </cell>
        </row>
        <row r="7">
          <cell r="A7" t="str">
            <v>Item</v>
          </cell>
          <cell r="B7" t="str">
            <v>Discriminação dos Serviços</v>
          </cell>
          <cell r="C7" t="str">
            <v>Peso    %</v>
          </cell>
          <cell r="D7" t="str">
            <v>Vl. das Obras/ Serviços (R$)</v>
          </cell>
          <cell r="E7" t="str">
            <v>Mês 01</v>
          </cell>
          <cell r="G7" t="str">
            <v>Mês 02</v>
          </cell>
          <cell r="I7" t="str">
            <v>Mês 03</v>
          </cell>
          <cell r="K7" t="str">
            <v>TOTAL</v>
          </cell>
        </row>
        <row r="8">
          <cell r="E8" t="str">
            <v>%</v>
          </cell>
          <cell r="F8" t="str">
            <v>R$</v>
          </cell>
          <cell r="G8" t="str">
            <v>%</v>
          </cell>
          <cell r="H8" t="str">
            <v>R$</v>
          </cell>
          <cell r="I8" t="str">
            <v>%</v>
          </cell>
          <cell r="J8" t="str">
            <v>R$</v>
          </cell>
          <cell r="K8" t="str">
            <v>%</v>
          </cell>
          <cell r="L8" t="str">
            <v>R$</v>
          </cell>
        </row>
        <row r="9">
          <cell r="A9" t="str">
            <v>01</v>
          </cell>
          <cell r="B9" t="str">
            <v>ITENS DE RATEIO</v>
          </cell>
          <cell r="C9">
            <v>0.44727697568639729</v>
          </cell>
          <cell r="D9">
            <v>109012.86</v>
          </cell>
        </row>
        <row r="11">
          <cell r="A11" t="str">
            <v>02</v>
          </cell>
          <cell r="B11" t="str">
            <v>LIGAÇÕES INTRADOMICILIARES</v>
          </cell>
          <cell r="C11">
            <v>0.39678607613288958</v>
          </cell>
          <cell r="D11">
            <v>96706.934000000008</v>
          </cell>
        </row>
        <row r="13">
          <cell r="A13" t="str">
            <v>03</v>
          </cell>
          <cell r="B13" t="str">
            <v>LIGAÇÕES DOMICILIARES</v>
          </cell>
          <cell r="C13">
            <v>0.15593694818071324</v>
          </cell>
          <cell r="D13">
            <v>38005.829999999994</v>
          </cell>
        </row>
        <row r="16">
          <cell r="A16" t="str">
            <v>TOTAL</v>
          </cell>
          <cell r="B16" t="str">
            <v>SIMPLES</v>
          </cell>
        </row>
        <row r="17">
          <cell r="B17" t="str">
            <v>ACUMULADO</v>
          </cell>
          <cell r="C17">
            <v>1</v>
          </cell>
          <cell r="D17">
            <v>243725.62399999998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 refreshError="1"/>
      <sheetData sheetId="1" refreshError="1"/>
      <sheetData sheetId="2">
        <row r="29">
          <cell r="G29" t="str">
            <v>02/2018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V86"/>
  <sheetViews>
    <sheetView tabSelected="1" view="pageBreakPreview" zoomScale="115" zoomScaleNormal="70" zoomScaleSheetLayoutView="115" workbookViewId="0">
      <selection activeCell="I37" sqref="I37"/>
    </sheetView>
  </sheetViews>
  <sheetFormatPr defaultRowHeight="15" x14ac:dyDescent="0.25"/>
  <cols>
    <col min="1" max="1" width="9.140625" style="1"/>
    <col min="2" max="2" width="8.5703125" style="2" customWidth="1"/>
    <col min="3" max="3" width="13.42578125" style="101" customWidth="1"/>
    <col min="4" max="4" width="13.85546875" style="2" customWidth="1"/>
    <col min="5" max="5" width="13.5703125" style="101" customWidth="1"/>
    <col min="6" max="6" width="55.5703125" style="1" customWidth="1"/>
    <col min="7" max="7" width="8.5703125" style="2" customWidth="1"/>
    <col min="8" max="8" width="10.140625" style="3" customWidth="1"/>
    <col min="9" max="9" width="12" style="1" customWidth="1"/>
    <col min="10" max="10" width="12.42578125" style="1" customWidth="1"/>
    <col min="11" max="11" width="14.5703125" style="1" customWidth="1"/>
    <col min="12" max="13" width="9.140625" style="1"/>
    <col min="14" max="15" width="23.42578125" style="1" customWidth="1"/>
    <col min="16" max="16384" width="9.140625" style="1"/>
  </cols>
  <sheetData>
    <row r="1" spans="2:22" s="8" customFormat="1" ht="48.75" customHeight="1" thickTop="1" x14ac:dyDescent="0.2">
      <c r="B1" s="241" t="s">
        <v>82</v>
      </c>
      <c r="C1" s="242"/>
      <c r="D1" s="242"/>
      <c r="E1" s="242"/>
      <c r="F1" s="242"/>
      <c r="G1" s="242"/>
      <c r="H1" s="242"/>
      <c r="I1" s="242"/>
      <c r="J1" s="243"/>
      <c r="K1" s="244"/>
      <c r="L1" s="100"/>
      <c r="M1" s="100"/>
    </row>
    <row r="2" spans="2:22" ht="15.75" x14ac:dyDescent="0.25">
      <c r="B2" s="251" t="s">
        <v>14</v>
      </c>
      <c r="C2" s="252"/>
      <c r="D2" s="252"/>
      <c r="E2" s="252"/>
      <c r="F2" s="252"/>
      <c r="G2" s="252"/>
      <c r="H2" s="252"/>
      <c r="I2" s="252"/>
      <c r="J2" s="245"/>
      <c r="K2" s="246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2:22" x14ac:dyDescent="0.25">
      <c r="B3" s="253" t="s">
        <v>242</v>
      </c>
      <c r="C3" s="254"/>
      <c r="D3" s="254"/>
      <c r="E3" s="254"/>
      <c r="F3" s="254"/>
      <c r="G3" s="254"/>
      <c r="H3" s="254"/>
      <c r="I3" s="254"/>
      <c r="J3" s="254"/>
      <c r="K3" s="255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2:22" x14ac:dyDescent="0.25">
      <c r="B4" s="238" t="s">
        <v>245</v>
      </c>
      <c r="C4" s="239"/>
      <c r="D4" s="239"/>
      <c r="E4" s="239"/>
      <c r="F4" s="239"/>
      <c r="G4" s="239"/>
      <c r="H4" s="239"/>
      <c r="I4" s="239"/>
      <c r="J4" s="239"/>
      <c r="K4" s="240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2:22" x14ac:dyDescent="0.25">
      <c r="B5" s="238" t="s">
        <v>204</v>
      </c>
      <c r="C5" s="239"/>
      <c r="D5" s="239"/>
      <c r="E5" s="239"/>
      <c r="F5" s="239"/>
      <c r="G5" s="239"/>
      <c r="H5" s="239"/>
      <c r="I5" s="239"/>
      <c r="J5" s="239"/>
      <c r="K5" s="240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2:22" x14ac:dyDescent="0.25">
      <c r="B6" s="238" t="s">
        <v>153</v>
      </c>
      <c r="C6" s="239"/>
      <c r="D6" s="239"/>
      <c r="E6" s="239"/>
      <c r="F6" s="239"/>
      <c r="G6" s="239"/>
      <c r="H6" s="239"/>
      <c r="I6" s="239"/>
      <c r="J6" s="239"/>
      <c r="K6" s="24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2:22" x14ac:dyDescent="0.25">
      <c r="B7" s="249" t="s">
        <v>167</v>
      </c>
      <c r="C7" s="250"/>
      <c r="D7" s="250"/>
      <c r="E7" s="250"/>
      <c r="F7" s="250"/>
      <c r="G7" s="250"/>
      <c r="H7" s="250"/>
      <c r="I7" s="247" t="s">
        <v>145</v>
      </c>
      <c r="J7" s="247"/>
      <c r="K7" s="248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2:22" ht="15" customHeight="1" x14ac:dyDescent="0.25">
      <c r="B8" s="260" t="s">
        <v>102</v>
      </c>
      <c r="C8" s="261"/>
      <c r="D8" s="261"/>
      <c r="E8" s="261"/>
      <c r="F8" s="261"/>
      <c r="G8" s="261"/>
      <c r="H8" s="262"/>
      <c r="I8" s="263" t="s">
        <v>75</v>
      </c>
      <c r="J8" s="264"/>
      <c r="K8" s="221">
        <f>'BDI '!E30</f>
        <v>0.28999999999999998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2:22" ht="46.5" customHeight="1" x14ac:dyDescent="0.25">
      <c r="B9" s="171" t="s">
        <v>5</v>
      </c>
      <c r="C9" s="102" t="s">
        <v>85</v>
      </c>
      <c r="D9" s="102" t="s">
        <v>13</v>
      </c>
      <c r="E9" s="102" t="s">
        <v>97</v>
      </c>
      <c r="F9" s="102" t="s">
        <v>6</v>
      </c>
      <c r="G9" s="102" t="s">
        <v>7</v>
      </c>
      <c r="H9" s="102" t="s">
        <v>8</v>
      </c>
      <c r="I9" s="103" t="s">
        <v>84</v>
      </c>
      <c r="J9" s="103" t="s">
        <v>83</v>
      </c>
      <c r="K9" s="172" t="s">
        <v>9</v>
      </c>
      <c r="M9" s="9"/>
    </row>
    <row r="10" spans="2:22" s="19" customFormat="1" ht="15.75" x14ac:dyDescent="0.25">
      <c r="B10" s="173" t="s">
        <v>92</v>
      </c>
      <c r="C10" s="143"/>
      <c r="D10" s="236"/>
      <c r="E10" s="148"/>
      <c r="F10" s="148" t="s">
        <v>89</v>
      </c>
      <c r="G10" s="143"/>
      <c r="H10" s="144"/>
      <c r="I10" s="144"/>
      <c r="J10" s="144"/>
      <c r="K10" s="174"/>
    </row>
    <row r="11" spans="2:22" ht="94.5" x14ac:dyDescent="0.25">
      <c r="B11" s="175" t="s">
        <v>10</v>
      </c>
      <c r="C11" s="104" t="s">
        <v>86</v>
      </c>
      <c r="D11" s="106" t="s">
        <v>151</v>
      </c>
      <c r="E11" s="106" t="s">
        <v>200</v>
      </c>
      <c r="F11" s="107" t="s">
        <v>100</v>
      </c>
      <c r="G11" s="104" t="s">
        <v>94</v>
      </c>
      <c r="H11" s="108">
        <v>4.5</v>
      </c>
      <c r="I11" s="109">
        <v>184.07</v>
      </c>
      <c r="J11" s="110">
        <f>ROUND(I11*(1+$K$8),2)</f>
        <v>237.45</v>
      </c>
      <c r="K11" s="176">
        <f>ROUND(J11*H11,2)</f>
        <v>1068.53</v>
      </c>
    </row>
    <row r="12" spans="2:22" ht="30" customHeight="1" x14ac:dyDescent="0.25">
      <c r="B12" s="175" t="s">
        <v>11</v>
      </c>
      <c r="C12" s="104" t="s">
        <v>88</v>
      </c>
      <c r="D12" s="104">
        <v>100305</v>
      </c>
      <c r="E12" s="106" t="s">
        <v>201</v>
      </c>
      <c r="F12" s="111" t="s">
        <v>87</v>
      </c>
      <c r="G12" s="104" t="s">
        <v>90</v>
      </c>
      <c r="H12" s="108">
        <v>20</v>
      </c>
      <c r="I12" s="109">
        <v>81.47</v>
      </c>
      <c r="J12" s="110">
        <f>ROUND(I12*(1+$K$8),2)</f>
        <v>105.1</v>
      </c>
      <c r="K12" s="176">
        <f t="shared" ref="K12" si="0">ROUND(J12*H12,2)</f>
        <v>2102</v>
      </c>
    </row>
    <row r="13" spans="2:22" ht="15.75" x14ac:dyDescent="0.25">
      <c r="B13" s="177"/>
      <c r="C13" s="147"/>
      <c r="D13" s="147"/>
      <c r="E13" s="147"/>
      <c r="F13" s="147"/>
      <c r="G13" s="147"/>
      <c r="H13" s="147"/>
      <c r="I13" s="147"/>
      <c r="J13" s="168" t="s">
        <v>96</v>
      </c>
      <c r="K13" s="178">
        <f>SUM(K11:K12)</f>
        <v>3170.5299999999997</v>
      </c>
    </row>
    <row r="14" spans="2:22" ht="15.75" x14ac:dyDescent="0.25">
      <c r="B14" s="171"/>
      <c r="C14" s="232"/>
      <c r="D14" s="102"/>
      <c r="E14" s="102"/>
      <c r="F14" s="237" t="s">
        <v>205</v>
      </c>
      <c r="G14" s="232"/>
      <c r="H14" s="233"/>
      <c r="I14" s="234"/>
      <c r="J14" s="234"/>
      <c r="K14" s="235"/>
      <c r="M14" s="9"/>
    </row>
    <row r="15" spans="2:22" ht="15.75" x14ac:dyDescent="0.25">
      <c r="B15" s="179" t="s">
        <v>91</v>
      </c>
      <c r="C15" s="146"/>
      <c r="D15" s="146"/>
      <c r="E15" s="112"/>
      <c r="F15" s="113" t="s">
        <v>231</v>
      </c>
      <c r="G15" s="146"/>
      <c r="H15" s="146"/>
      <c r="I15" s="146"/>
      <c r="J15" s="145"/>
      <c r="K15" s="180"/>
    </row>
    <row r="16" spans="2:22" ht="47.25" x14ac:dyDescent="0.25">
      <c r="B16" s="175" t="s">
        <v>45</v>
      </c>
      <c r="C16" s="104" t="s">
        <v>88</v>
      </c>
      <c r="D16" s="104">
        <v>97625</v>
      </c>
      <c r="E16" s="106" t="s">
        <v>200</v>
      </c>
      <c r="F16" s="107" t="s">
        <v>146</v>
      </c>
      <c r="G16" s="104" t="s">
        <v>95</v>
      </c>
      <c r="H16" s="108">
        <v>5.0999999999999996</v>
      </c>
      <c r="I16" s="109">
        <v>43.02</v>
      </c>
      <c r="J16" s="110">
        <f>ROUND(I16*(1+$K$8),2)</f>
        <v>55.5</v>
      </c>
      <c r="K16" s="176">
        <f t="shared" ref="K16:K17" si="1">ROUND(J16*H16,2)</f>
        <v>283.05</v>
      </c>
    </row>
    <row r="17" spans="2:11" ht="31.5" x14ac:dyDescent="0.25">
      <c r="B17" s="175" t="s">
        <v>176</v>
      </c>
      <c r="C17" s="104" t="s">
        <v>86</v>
      </c>
      <c r="D17" s="104" t="s">
        <v>155</v>
      </c>
      <c r="E17" s="106" t="s">
        <v>200</v>
      </c>
      <c r="F17" s="107" t="s">
        <v>154</v>
      </c>
      <c r="G17" s="104" t="s">
        <v>94</v>
      </c>
      <c r="H17" s="108">
        <v>40</v>
      </c>
      <c r="I17" s="109">
        <v>7.18</v>
      </c>
      <c r="J17" s="110">
        <f>ROUND(I17*(1+$K$8),2)</f>
        <v>9.26</v>
      </c>
      <c r="K17" s="176">
        <f t="shared" si="1"/>
        <v>370.4</v>
      </c>
    </row>
    <row r="18" spans="2:11" ht="15.75" x14ac:dyDescent="0.25">
      <c r="B18" s="270" t="s">
        <v>96</v>
      </c>
      <c r="C18" s="271"/>
      <c r="D18" s="271"/>
      <c r="E18" s="271"/>
      <c r="F18" s="271"/>
      <c r="G18" s="271"/>
      <c r="H18" s="271"/>
      <c r="I18" s="271"/>
      <c r="J18" s="271"/>
      <c r="K18" s="181">
        <f>SUM(K16:K17)</f>
        <v>653.45000000000005</v>
      </c>
    </row>
    <row r="19" spans="2:11" s="19" customFormat="1" ht="15.75" x14ac:dyDescent="0.25">
      <c r="B19" s="179" t="s">
        <v>93</v>
      </c>
      <c r="C19" s="258"/>
      <c r="D19" s="259"/>
      <c r="E19" s="223"/>
      <c r="F19" s="112" t="s">
        <v>232</v>
      </c>
      <c r="G19" s="224"/>
      <c r="H19" s="225"/>
      <c r="I19" s="225"/>
      <c r="J19" s="225"/>
      <c r="K19" s="180"/>
    </row>
    <row r="20" spans="2:11" s="19" customFormat="1" ht="31.5" x14ac:dyDescent="0.25">
      <c r="B20" s="175" t="s">
        <v>46</v>
      </c>
      <c r="C20" s="104" t="s">
        <v>88</v>
      </c>
      <c r="D20" s="104">
        <v>93358</v>
      </c>
      <c r="E20" s="106" t="s">
        <v>200</v>
      </c>
      <c r="F20" s="114" t="s">
        <v>156</v>
      </c>
      <c r="G20" s="104" t="s">
        <v>95</v>
      </c>
      <c r="H20" s="108">
        <v>54</v>
      </c>
      <c r="I20" s="105">
        <v>56.17</v>
      </c>
      <c r="J20" s="110">
        <f t="shared" ref="J20" si="2">ROUND(I20*(1+$K$8),2)</f>
        <v>72.459999999999994</v>
      </c>
      <c r="K20" s="176">
        <f t="shared" ref="K20" si="3">ROUND(H20*J20,2)</f>
        <v>3912.84</v>
      </c>
    </row>
    <row r="21" spans="2:11" s="19" customFormat="1" ht="47.25" x14ac:dyDescent="0.25">
      <c r="B21" s="175" t="s">
        <v>47</v>
      </c>
      <c r="C21" s="104" t="s">
        <v>88</v>
      </c>
      <c r="D21" s="104">
        <v>101575</v>
      </c>
      <c r="E21" s="106" t="s">
        <v>200</v>
      </c>
      <c r="F21" s="114" t="s">
        <v>159</v>
      </c>
      <c r="G21" s="104" t="s">
        <v>94</v>
      </c>
      <c r="H21" s="108">
        <v>57.6</v>
      </c>
      <c r="I21" s="105">
        <v>15.18</v>
      </c>
      <c r="J21" s="110">
        <f t="shared" ref="J21" si="4">ROUND(I21*(1+$K$8),2)</f>
        <v>19.579999999999998</v>
      </c>
      <c r="K21" s="176">
        <f t="shared" ref="K21" si="5">ROUND(H21*J21,2)</f>
        <v>1127.81</v>
      </c>
    </row>
    <row r="22" spans="2:11" s="19" customFormat="1" ht="31.5" x14ac:dyDescent="0.25">
      <c r="B22" s="175" t="s">
        <v>48</v>
      </c>
      <c r="C22" s="104" t="s">
        <v>88</v>
      </c>
      <c r="D22" s="104">
        <v>101616</v>
      </c>
      <c r="E22" s="106" t="s">
        <v>200</v>
      </c>
      <c r="F22" s="114" t="s">
        <v>158</v>
      </c>
      <c r="G22" s="104" t="s">
        <v>94</v>
      </c>
      <c r="H22" s="108">
        <v>30</v>
      </c>
      <c r="I22" s="105">
        <v>4.33</v>
      </c>
      <c r="J22" s="110">
        <f t="shared" ref="J22" si="6">ROUND(I22*(1+$K$8),2)</f>
        <v>5.59</v>
      </c>
      <c r="K22" s="176">
        <f t="shared" ref="K22" si="7">ROUND(H22*J22,2)</f>
        <v>167.7</v>
      </c>
    </row>
    <row r="23" spans="2:11" s="19" customFormat="1" ht="31.5" x14ac:dyDescent="0.25">
      <c r="B23" s="175" t="s">
        <v>49</v>
      </c>
      <c r="C23" s="104" t="s">
        <v>86</v>
      </c>
      <c r="D23" s="104" t="s">
        <v>163</v>
      </c>
      <c r="E23" s="106" t="s">
        <v>200</v>
      </c>
      <c r="F23" s="114" t="s">
        <v>162</v>
      </c>
      <c r="G23" s="104" t="s">
        <v>95</v>
      </c>
      <c r="H23" s="108">
        <v>1.5</v>
      </c>
      <c r="I23" s="105">
        <v>353.88</v>
      </c>
      <c r="J23" s="110">
        <f t="shared" ref="J23:J24" si="8">ROUND(I23*(1+$K$8),2)</f>
        <v>456.51</v>
      </c>
      <c r="K23" s="176">
        <f t="shared" ref="K23:K24" si="9">ROUND(H23*J23,2)</f>
        <v>684.77</v>
      </c>
    </row>
    <row r="24" spans="2:11" s="19" customFormat="1" ht="15.75" x14ac:dyDescent="0.25">
      <c r="B24" s="175" t="s">
        <v>53</v>
      </c>
      <c r="C24" s="104" t="s">
        <v>86</v>
      </c>
      <c r="D24" s="104" t="s">
        <v>165</v>
      </c>
      <c r="E24" s="106" t="s">
        <v>200</v>
      </c>
      <c r="F24" s="114" t="s">
        <v>164</v>
      </c>
      <c r="G24" s="104" t="s">
        <v>95</v>
      </c>
      <c r="H24" s="108">
        <v>7</v>
      </c>
      <c r="I24" s="105">
        <v>108.38</v>
      </c>
      <c r="J24" s="110">
        <f t="shared" si="8"/>
        <v>139.81</v>
      </c>
      <c r="K24" s="176">
        <f t="shared" si="9"/>
        <v>978.67</v>
      </c>
    </row>
    <row r="25" spans="2:11" s="19" customFormat="1" ht="31.5" x14ac:dyDescent="0.25">
      <c r="B25" s="175" t="s">
        <v>177</v>
      </c>
      <c r="C25" s="104" t="s">
        <v>88</v>
      </c>
      <c r="D25" s="104">
        <v>93382</v>
      </c>
      <c r="E25" s="106" t="s">
        <v>200</v>
      </c>
      <c r="F25" s="114" t="s">
        <v>157</v>
      </c>
      <c r="G25" s="104" t="s">
        <v>95</v>
      </c>
      <c r="H25" s="108">
        <v>39.5</v>
      </c>
      <c r="I25" s="105">
        <v>22.73</v>
      </c>
      <c r="J25" s="110">
        <f t="shared" ref="J25" si="10">ROUND(I25*(1+$K$8),2)</f>
        <v>29.32</v>
      </c>
      <c r="K25" s="176">
        <f t="shared" ref="K25" si="11">ROUND(H25*J25,2)</f>
        <v>1158.1400000000001</v>
      </c>
    </row>
    <row r="26" spans="2:11" s="19" customFormat="1" ht="31.5" x14ac:dyDescent="0.25">
      <c r="B26" s="175" t="s">
        <v>178</v>
      </c>
      <c r="C26" s="104" t="s">
        <v>88</v>
      </c>
      <c r="D26" s="104">
        <v>94319</v>
      </c>
      <c r="E26" s="106" t="s">
        <v>200</v>
      </c>
      <c r="F26" s="114" t="s">
        <v>172</v>
      </c>
      <c r="G26" s="104" t="s">
        <v>95</v>
      </c>
      <c r="H26" s="108">
        <v>36</v>
      </c>
      <c r="I26" s="105">
        <v>34.94</v>
      </c>
      <c r="J26" s="110">
        <f t="shared" ref="J26" si="12">ROUND(I26*(1+$K$8),2)</f>
        <v>45.07</v>
      </c>
      <c r="K26" s="176">
        <f t="shared" ref="K26" si="13">ROUND(H26*J26,2)</f>
        <v>1622.52</v>
      </c>
    </row>
    <row r="27" spans="2:11" ht="15.75" x14ac:dyDescent="0.25">
      <c r="B27" s="256" t="s">
        <v>96</v>
      </c>
      <c r="C27" s="257"/>
      <c r="D27" s="257"/>
      <c r="E27" s="257"/>
      <c r="F27" s="257"/>
      <c r="G27" s="257"/>
      <c r="H27" s="257"/>
      <c r="I27" s="257"/>
      <c r="J27" s="257"/>
      <c r="K27" s="181">
        <f>SUM(K20:K26)</f>
        <v>9652.4499999999989</v>
      </c>
    </row>
    <row r="28" spans="2:11" s="19" customFormat="1" ht="15.75" x14ac:dyDescent="0.25">
      <c r="B28" s="179" t="s">
        <v>98</v>
      </c>
      <c r="C28" s="258"/>
      <c r="D28" s="259"/>
      <c r="E28" s="226"/>
      <c r="F28" s="112" t="s">
        <v>233</v>
      </c>
      <c r="G28" s="224"/>
      <c r="H28" s="225"/>
      <c r="I28" s="225"/>
      <c r="J28" s="225"/>
      <c r="K28" s="180"/>
    </row>
    <row r="29" spans="2:11" s="19" customFormat="1" ht="63" x14ac:dyDescent="0.25">
      <c r="B29" s="175" t="s">
        <v>50</v>
      </c>
      <c r="C29" s="104" t="s">
        <v>88</v>
      </c>
      <c r="D29" s="104">
        <v>90708</v>
      </c>
      <c r="E29" s="106" t="s">
        <v>200</v>
      </c>
      <c r="F29" s="114" t="s">
        <v>160</v>
      </c>
      <c r="G29" s="104" t="s">
        <v>161</v>
      </c>
      <c r="H29" s="108">
        <v>18</v>
      </c>
      <c r="I29" s="105">
        <v>903.59</v>
      </c>
      <c r="J29" s="110">
        <f t="shared" ref="J29:J33" si="14">ROUND(I29*(1+$K$8),2)</f>
        <v>1165.6300000000001</v>
      </c>
      <c r="K29" s="176">
        <f t="shared" ref="K29:K33" si="15">ROUND(H29*J29,2)</f>
        <v>20981.34</v>
      </c>
    </row>
    <row r="30" spans="2:11" s="19" customFormat="1" ht="47.25" x14ac:dyDescent="0.25">
      <c r="B30" s="175" t="s">
        <v>179</v>
      </c>
      <c r="C30" s="104" t="s">
        <v>88</v>
      </c>
      <c r="D30" s="104">
        <v>90695</v>
      </c>
      <c r="E30" s="106" t="s">
        <v>200</v>
      </c>
      <c r="F30" s="114" t="s">
        <v>173</v>
      </c>
      <c r="G30" s="104" t="s">
        <v>161</v>
      </c>
      <c r="H30" s="108">
        <v>18</v>
      </c>
      <c r="I30" s="105">
        <v>64.23</v>
      </c>
      <c r="J30" s="110">
        <f t="shared" si="14"/>
        <v>82.86</v>
      </c>
      <c r="K30" s="176">
        <f t="shared" si="15"/>
        <v>1491.48</v>
      </c>
    </row>
    <row r="31" spans="2:11" s="19" customFormat="1" ht="78.75" x14ac:dyDescent="0.25">
      <c r="B31" s="175" t="s">
        <v>180</v>
      </c>
      <c r="C31" s="104" t="s">
        <v>88</v>
      </c>
      <c r="D31" s="104">
        <v>92839</v>
      </c>
      <c r="E31" s="106" t="s">
        <v>200</v>
      </c>
      <c r="F31" s="114" t="s">
        <v>175</v>
      </c>
      <c r="G31" s="104" t="s">
        <v>161</v>
      </c>
      <c r="H31" s="108">
        <v>12</v>
      </c>
      <c r="I31" s="105">
        <v>364.98</v>
      </c>
      <c r="J31" s="110">
        <f t="shared" ref="J31" si="16">ROUND(I31*(1+$K$8),2)</f>
        <v>470.82</v>
      </c>
      <c r="K31" s="176">
        <f t="shared" ref="K31" si="17">ROUND(H31*J31,2)</f>
        <v>5649.84</v>
      </c>
    </row>
    <row r="32" spans="2:11" s="19" customFormat="1" ht="31.5" x14ac:dyDescent="0.25">
      <c r="B32" s="175" t="s">
        <v>181</v>
      </c>
      <c r="C32" s="104" t="s">
        <v>189</v>
      </c>
      <c r="D32" s="104" t="s">
        <v>190</v>
      </c>
      <c r="E32" s="106" t="s">
        <v>200</v>
      </c>
      <c r="F32" s="114" t="s">
        <v>199</v>
      </c>
      <c r="G32" s="104" t="s">
        <v>7</v>
      </c>
      <c r="H32" s="108">
        <v>2</v>
      </c>
      <c r="I32" s="105">
        <v>1650.4</v>
      </c>
      <c r="J32" s="110">
        <f t="shared" si="14"/>
        <v>2129.02</v>
      </c>
      <c r="K32" s="176">
        <f t="shared" si="15"/>
        <v>4258.04</v>
      </c>
    </row>
    <row r="33" spans="2:11" s="19" customFormat="1" ht="31.5" x14ac:dyDescent="0.25">
      <c r="B33" s="175" t="s">
        <v>194</v>
      </c>
      <c r="C33" s="104" t="s">
        <v>189</v>
      </c>
      <c r="D33" s="104" t="s">
        <v>193</v>
      </c>
      <c r="E33" s="106" t="s">
        <v>200</v>
      </c>
      <c r="F33" s="114" t="s">
        <v>198</v>
      </c>
      <c r="G33" s="104" t="s">
        <v>161</v>
      </c>
      <c r="H33" s="108">
        <v>3</v>
      </c>
      <c r="I33" s="105">
        <v>458.21</v>
      </c>
      <c r="J33" s="110">
        <f t="shared" si="14"/>
        <v>591.09</v>
      </c>
      <c r="K33" s="176">
        <f t="shared" si="15"/>
        <v>1773.27</v>
      </c>
    </row>
    <row r="34" spans="2:11" ht="15.75" x14ac:dyDescent="0.25">
      <c r="B34" s="256" t="s">
        <v>96</v>
      </c>
      <c r="C34" s="257"/>
      <c r="D34" s="257"/>
      <c r="E34" s="257"/>
      <c r="F34" s="257"/>
      <c r="G34" s="257"/>
      <c r="H34" s="257"/>
      <c r="I34" s="257"/>
      <c r="J34" s="257"/>
      <c r="K34" s="181">
        <f>SUM(K29:K33)</f>
        <v>34153.97</v>
      </c>
    </row>
    <row r="35" spans="2:11" s="19" customFormat="1" ht="15.75" x14ac:dyDescent="0.25">
      <c r="B35" s="179" t="s">
        <v>99</v>
      </c>
      <c r="C35" s="258"/>
      <c r="D35" s="259"/>
      <c r="E35" s="228"/>
      <c r="F35" s="112" t="s">
        <v>234</v>
      </c>
      <c r="G35" s="224"/>
      <c r="H35" s="225"/>
      <c r="I35" s="225"/>
      <c r="J35" s="225"/>
      <c r="K35" s="180"/>
    </row>
    <row r="36" spans="2:11" s="19" customFormat="1" ht="63" x14ac:dyDescent="0.25">
      <c r="B36" s="175" t="s">
        <v>182</v>
      </c>
      <c r="C36" s="104" t="s">
        <v>88</v>
      </c>
      <c r="D36" s="104">
        <v>101165</v>
      </c>
      <c r="E36" s="106" t="s">
        <v>200</v>
      </c>
      <c r="F36" s="114" t="s">
        <v>171</v>
      </c>
      <c r="G36" s="104" t="s">
        <v>94</v>
      </c>
      <c r="H36" s="108">
        <v>7.2</v>
      </c>
      <c r="I36" s="105">
        <v>629.30999999999995</v>
      </c>
      <c r="J36" s="110">
        <f t="shared" ref="J36:J39" si="18">ROUND(I36*(1+$K$8),2)</f>
        <v>811.81</v>
      </c>
      <c r="K36" s="176">
        <f t="shared" ref="K36:K39" si="19">ROUND(H36*J36,2)</f>
        <v>5845.03</v>
      </c>
    </row>
    <row r="37" spans="2:11" s="19" customFormat="1" ht="51" customHeight="1" x14ac:dyDescent="0.25">
      <c r="B37" s="175" t="s">
        <v>183</v>
      </c>
      <c r="C37" s="104" t="s">
        <v>88</v>
      </c>
      <c r="D37" s="104">
        <v>100324</v>
      </c>
      <c r="E37" s="106" t="s">
        <v>200</v>
      </c>
      <c r="F37" s="107" t="s">
        <v>203</v>
      </c>
      <c r="G37" s="104" t="s">
        <v>95</v>
      </c>
      <c r="H37" s="108">
        <v>1</v>
      </c>
      <c r="I37" s="105">
        <v>112.98</v>
      </c>
      <c r="J37" s="110">
        <f t="shared" ref="J37" si="20">ROUND(I37*(1+$K$8),2)</f>
        <v>145.74</v>
      </c>
      <c r="K37" s="176">
        <f t="shared" ref="K37" si="21">ROUND(H37*J37,2)</f>
        <v>145.74</v>
      </c>
    </row>
    <row r="38" spans="2:11" s="19" customFormat="1" ht="51.75" customHeight="1" x14ac:dyDescent="0.25">
      <c r="B38" s="175" t="s">
        <v>184</v>
      </c>
      <c r="C38" s="104" t="s">
        <v>86</v>
      </c>
      <c r="D38" s="104" t="s">
        <v>170</v>
      </c>
      <c r="E38" s="106" t="s">
        <v>200</v>
      </c>
      <c r="F38" s="229" t="s">
        <v>169</v>
      </c>
      <c r="G38" s="104" t="s">
        <v>95</v>
      </c>
      <c r="H38" s="108">
        <v>24</v>
      </c>
      <c r="I38" s="105">
        <v>361.73</v>
      </c>
      <c r="J38" s="110">
        <f t="shared" si="18"/>
        <v>466.63</v>
      </c>
      <c r="K38" s="176">
        <f t="shared" si="19"/>
        <v>11199.12</v>
      </c>
    </row>
    <row r="39" spans="2:11" s="19" customFormat="1" ht="52.5" customHeight="1" x14ac:dyDescent="0.25">
      <c r="B39" s="175" t="s">
        <v>185</v>
      </c>
      <c r="C39" s="104" t="s">
        <v>88</v>
      </c>
      <c r="D39" s="104">
        <v>94991</v>
      </c>
      <c r="E39" s="106" t="s">
        <v>201</v>
      </c>
      <c r="F39" s="229" t="s">
        <v>174</v>
      </c>
      <c r="G39" s="104" t="s">
        <v>95</v>
      </c>
      <c r="H39" s="108">
        <v>3.9</v>
      </c>
      <c r="I39" s="105">
        <v>472.78</v>
      </c>
      <c r="J39" s="110">
        <f t="shared" si="18"/>
        <v>609.89</v>
      </c>
      <c r="K39" s="176">
        <f t="shared" si="19"/>
        <v>2378.5700000000002</v>
      </c>
    </row>
    <row r="40" spans="2:11" s="19" customFormat="1" ht="18" customHeight="1" x14ac:dyDescent="0.25">
      <c r="B40" s="175" t="s">
        <v>195</v>
      </c>
      <c r="C40" s="104" t="s">
        <v>189</v>
      </c>
      <c r="D40" s="104" t="s">
        <v>196</v>
      </c>
      <c r="E40" s="106" t="s">
        <v>201</v>
      </c>
      <c r="F40" s="229" t="s">
        <v>197</v>
      </c>
      <c r="G40" s="104" t="s">
        <v>161</v>
      </c>
      <c r="H40" s="108">
        <v>12</v>
      </c>
      <c r="I40" s="105">
        <v>22.47</v>
      </c>
      <c r="J40" s="110">
        <f t="shared" ref="J40" si="22">ROUND(I40*(1+$K$8),2)</f>
        <v>28.99</v>
      </c>
      <c r="K40" s="176">
        <f t="shared" ref="K40" si="23">ROUND(H40*J40,2)</f>
        <v>347.88</v>
      </c>
    </row>
    <row r="41" spans="2:11" s="19" customFormat="1" ht="92.25" customHeight="1" x14ac:dyDescent="0.25">
      <c r="B41" s="175" t="s">
        <v>202</v>
      </c>
      <c r="C41" s="104" t="s">
        <v>86</v>
      </c>
      <c r="D41" s="104" t="s">
        <v>192</v>
      </c>
      <c r="E41" s="106" t="s">
        <v>201</v>
      </c>
      <c r="F41" s="229" t="s">
        <v>191</v>
      </c>
      <c r="G41" s="104" t="s">
        <v>161</v>
      </c>
      <c r="H41" s="108">
        <v>17</v>
      </c>
      <c r="I41" s="105">
        <v>322.36</v>
      </c>
      <c r="J41" s="110">
        <f t="shared" ref="J41" si="24">ROUND(I41*(1+$K$8),2)</f>
        <v>415.84</v>
      </c>
      <c r="K41" s="176">
        <f t="shared" ref="K41" si="25">ROUND(H41*J41,2)</f>
        <v>7069.28</v>
      </c>
    </row>
    <row r="42" spans="2:11" ht="15.75" x14ac:dyDescent="0.25">
      <c r="B42" s="256" t="s">
        <v>96</v>
      </c>
      <c r="C42" s="257"/>
      <c r="D42" s="257"/>
      <c r="E42" s="257"/>
      <c r="F42" s="257"/>
      <c r="G42" s="257"/>
      <c r="H42" s="257"/>
      <c r="I42" s="257"/>
      <c r="J42" s="257"/>
      <c r="K42" s="181">
        <f>SUM(K36:K41)</f>
        <v>26985.62</v>
      </c>
    </row>
    <row r="43" spans="2:11" s="19" customFormat="1" ht="15.75" x14ac:dyDescent="0.25">
      <c r="B43" s="179" t="s">
        <v>101</v>
      </c>
      <c r="C43" s="227"/>
      <c r="D43" s="228"/>
      <c r="E43" s="228"/>
      <c r="F43" s="112" t="s">
        <v>235</v>
      </c>
      <c r="G43" s="227"/>
      <c r="H43" s="211"/>
      <c r="I43" s="211"/>
      <c r="J43" s="211"/>
      <c r="K43" s="212"/>
    </row>
    <row r="44" spans="2:11" s="19" customFormat="1" ht="15.75" x14ac:dyDescent="0.25">
      <c r="B44" s="175" t="s">
        <v>186</v>
      </c>
      <c r="C44" s="104" t="s">
        <v>88</v>
      </c>
      <c r="D44" s="119">
        <v>98504</v>
      </c>
      <c r="E44" s="106" t="s">
        <v>201</v>
      </c>
      <c r="F44" s="114" t="s">
        <v>166</v>
      </c>
      <c r="G44" s="104" t="s">
        <v>94</v>
      </c>
      <c r="H44" s="108">
        <v>28</v>
      </c>
      <c r="I44" s="105">
        <v>8.11</v>
      </c>
      <c r="J44" s="110">
        <f>ROUND(I44*(1+$K$8),2)</f>
        <v>10.46</v>
      </c>
      <c r="K44" s="176">
        <f>ROUND(H44*J44,2)</f>
        <v>292.88</v>
      </c>
    </row>
    <row r="45" spans="2:11" ht="15.75" x14ac:dyDescent="0.25">
      <c r="B45" s="256" t="s">
        <v>96</v>
      </c>
      <c r="C45" s="257"/>
      <c r="D45" s="257"/>
      <c r="E45" s="257"/>
      <c r="F45" s="257"/>
      <c r="G45" s="257"/>
      <c r="H45" s="257"/>
      <c r="I45" s="257"/>
      <c r="J45" s="257"/>
      <c r="K45" s="181">
        <f>SUM(K44:K44)</f>
        <v>292.88</v>
      </c>
    </row>
    <row r="46" spans="2:11" s="19" customFormat="1" ht="15.75" x14ac:dyDescent="0.25">
      <c r="B46" s="179" t="s">
        <v>103</v>
      </c>
      <c r="C46" s="209"/>
      <c r="D46" s="210"/>
      <c r="E46" s="210"/>
      <c r="F46" s="112" t="s">
        <v>236</v>
      </c>
      <c r="G46" s="209"/>
      <c r="H46" s="211"/>
      <c r="I46" s="211"/>
      <c r="J46" s="211"/>
      <c r="K46" s="212"/>
    </row>
    <row r="47" spans="2:11" s="19" customFormat="1" ht="15.75" x14ac:dyDescent="0.25">
      <c r="B47" s="175" t="s">
        <v>187</v>
      </c>
      <c r="C47" s="104" t="s">
        <v>86</v>
      </c>
      <c r="D47" s="119" t="s">
        <v>31</v>
      </c>
      <c r="E47" s="106" t="s">
        <v>201</v>
      </c>
      <c r="F47" s="114" t="s">
        <v>144</v>
      </c>
      <c r="G47" s="104" t="s">
        <v>94</v>
      </c>
      <c r="H47" s="108">
        <v>39</v>
      </c>
      <c r="I47" s="105">
        <v>4.82</v>
      </c>
      <c r="J47" s="110">
        <f>ROUND(I47*(1+$K$8),2)</f>
        <v>6.22</v>
      </c>
      <c r="K47" s="176">
        <f>ROUND(H47*J47,2)</f>
        <v>242.58</v>
      </c>
    </row>
    <row r="48" spans="2:11" ht="15.75" x14ac:dyDescent="0.25">
      <c r="B48" s="256" t="s">
        <v>96</v>
      </c>
      <c r="C48" s="257"/>
      <c r="D48" s="257"/>
      <c r="E48" s="257"/>
      <c r="F48" s="257"/>
      <c r="G48" s="257"/>
      <c r="H48" s="257"/>
      <c r="I48" s="257"/>
      <c r="J48" s="257"/>
      <c r="K48" s="181">
        <f>SUM(K47:K47)</f>
        <v>242.58</v>
      </c>
    </row>
    <row r="49" spans="2:13" ht="15.75" x14ac:dyDescent="0.25">
      <c r="B49" s="278" t="s">
        <v>139</v>
      </c>
      <c r="C49" s="279"/>
      <c r="D49" s="279"/>
      <c r="E49" s="279"/>
      <c r="F49" s="279"/>
      <c r="G49" s="279"/>
      <c r="H49" s="279"/>
      <c r="I49" s="279"/>
      <c r="J49" s="280"/>
      <c r="K49" s="182">
        <f>SUM(K13,K18,K27,K34,K42,K45,K48)</f>
        <v>75151.48000000001</v>
      </c>
    </row>
    <row r="50" spans="2:13" ht="15.75" x14ac:dyDescent="0.25">
      <c r="B50" s="171"/>
      <c r="C50" s="232"/>
      <c r="D50" s="102"/>
      <c r="E50" s="102"/>
      <c r="F50" s="237" t="s">
        <v>206</v>
      </c>
      <c r="G50" s="232"/>
      <c r="H50" s="233"/>
      <c r="I50" s="234"/>
      <c r="J50" s="234"/>
      <c r="K50" s="235"/>
      <c r="M50" s="9"/>
    </row>
    <row r="51" spans="2:13" ht="15.75" x14ac:dyDescent="0.25">
      <c r="B51" s="179" t="s">
        <v>148</v>
      </c>
      <c r="C51" s="146"/>
      <c r="D51" s="146"/>
      <c r="E51" s="112"/>
      <c r="F51" s="113" t="s">
        <v>237</v>
      </c>
      <c r="G51" s="146"/>
      <c r="H51" s="146"/>
      <c r="I51" s="146"/>
      <c r="J51" s="145"/>
      <c r="K51" s="180"/>
    </row>
    <row r="52" spans="2:13" ht="47.25" x14ac:dyDescent="0.25">
      <c r="B52" s="175" t="s">
        <v>147</v>
      </c>
      <c r="C52" s="104" t="s">
        <v>88</v>
      </c>
      <c r="D52" s="104">
        <v>97634</v>
      </c>
      <c r="E52" s="106" t="s">
        <v>201</v>
      </c>
      <c r="F52" s="107" t="s">
        <v>207</v>
      </c>
      <c r="G52" s="104" t="s">
        <v>94</v>
      </c>
      <c r="H52" s="108">
        <v>24</v>
      </c>
      <c r="I52" s="109">
        <v>8.5399999999999991</v>
      </c>
      <c r="J52" s="110">
        <f>ROUND(I52*(1+$K$8),2)</f>
        <v>11.02</v>
      </c>
      <c r="K52" s="176">
        <f t="shared" ref="K52:K53" si="26">ROUND(J52*H52,2)</f>
        <v>264.48</v>
      </c>
    </row>
    <row r="53" spans="2:13" ht="31.5" x14ac:dyDescent="0.25">
      <c r="B53" s="175" t="s">
        <v>208</v>
      </c>
      <c r="C53" s="104" t="s">
        <v>86</v>
      </c>
      <c r="D53" s="104" t="s">
        <v>155</v>
      </c>
      <c r="E53" s="106" t="s">
        <v>201</v>
      </c>
      <c r="F53" s="107" t="s">
        <v>154</v>
      </c>
      <c r="G53" s="104" t="s">
        <v>94</v>
      </c>
      <c r="H53" s="108">
        <v>24</v>
      </c>
      <c r="I53" s="109">
        <v>7.18</v>
      </c>
      <c r="J53" s="110">
        <f>ROUND(I53*(1+$K$8),2)</f>
        <v>9.26</v>
      </c>
      <c r="K53" s="176">
        <f t="shared" si="26"/>
        <v>222.24</v>
      </c>
    </row>
    <row r="54" spans="2:13" ht="15.75" x14ac:dyDescent="0.25">
      <c r="B54" s="270" t="s">
        <v>96</v>
      </c>
      <c r="C54" s="271"/>
      <c r="D54" s="271"/>
      <c r="E54" s="271"/>
      <c r="F54" s="271"/>
      <c r="G54" s="271"/>
      <c r="H54" s="271"/>
      <c r="I54" s="271"/>
      <c r="J54" s="271"/>
      <c r="K54" s="181">
        <f>SUM(K52:K53)</f>
        <v>486.72</v>
      </c>
    </row>
    <row r="55" spans="2:13" s="19" customFormat="1" ht="15.75" x14ac:dyDescent="0.25">
      <c r="B55" s="179" t="s">
        <v>209</v>
      </c>
      <c r="C55" s="258"/>
      <c r="D55" s="259"/>
      <c r="E55" s="231"/>
      <c r="F55" s="112" t="s">
        <v>238</v>
      </c>
      <c r="G55" s="224"/>
      <c r="H55" s="225"/>
      <c r="I55" s="225"/>
      <c r="J55" s="225"/>
      <c r="K55" s="180"/>
    </row>
    <row r="56" spans="2:13" s="19" customFormat="1" ht="31.5" x14ac:dyDescent="0.25">
      <c r="B56" s="175" t="s">
        <v>210</v>
      </c>
      <c r="C56" s="104" t="s">
        <v>88</v>
      </c>
      <c r="D56" s="104">
        <v>93358</v>
      </c>
      <c r="E56" s="106" t="s">
        <v>201</v>
      </c>
      <c r="F56" s="114" t="s">
        <v>156</v>
      </c>
      <c r="G56" s="104" t="s">
        <v>95</v>
      </c>
      <c r="H56" s="108">
        <v>20</v>
      </c>
      <c r="I56" s="105">
        <v>56.17</v>
      </c>
      <c r="J56" s="110">
        <f t="shared" ref="J56:J60" si="27">ROUND(I56*(1+$K$8),2)</f>
        <v>72.459999999999994</v>
      </c>
      <c r="K56" s="176">
        <f t="shared" ref="K56:K60" si="28">ROUND(H56*J56,2)</f>
        <v>1449.2</v>
      </c>
    </row>
    <row r="57" spans="2:13" s="19" customFormat="1" ht="31.5" x14ac:dyDescent="0.25">
      <c r="B57" s="175" t="s">
        <v>211</v>
      </c>
      <c r="C57" s="104" t="s">
        <v>88</v>
      </c>
      <c r="D57" s="104">
        <v>101616</v>
      </c>
      <c r="E57" s="106" t="s">
        <v>201</v>
      </c>
      <c r="F57" s="114" t="s">
        <v>158</v>
      </c>
      <c r="G57" s="104" t="s">
        <v>94</v>
      </c>
      <c r="H57" s="108">
        <v>10</v>
      </c>
      <c r="I57" s="105">
        <v>4.33</v>
      </c>
      <c r="J57" s="110">
        <f t="shared" si="27"/>
        <v>5.59</v>
      </c>
      <c r="K57" s="176">
        <f t="shared" si="28"/>
        <v>55.9</v>
      </c>
    </row>
    <row r="58" spans="2:13" s="19" customFormat="1" ht="31.5" x14ac:dyDescent="0.25">
      <c r="B58" s="175" t="s">
        <v>212</v>
      </c>
      <c r="C58" s="104" t="s">
        <v>86</v>
      </c>
      <c r="D58" s="104" t="s">
        <v>163</v>
      </c>
      <c r="E58" s="106" t="s">
        <v>201</v>
      </c>
      <c r="F58" s="114" t="s">
        <v>162</v>
      </c>
      <c r="G58" s="104" t="s">
        <v>95</v>
      </c>
      <c r="H58" s="108">
        <v>1</v>
      </c>
      <c r="I58" s="105">
        <v>353.88</v>
      </c>
      <c r="J58" s="110">
        <f t="shared" si="27"/>
        <v>456.51</v>
      </c>
      <c r="K58" s="176">
        <f t="shared" si="28"/>
        <v>456.51</v>
      </c>
    </row>
    <row r="59" spans="2:13" s="19" customFormat="1" ht="15.75" x14ac:dyDescent="0.25">
      <c r="B59" s="175" t="s">
        <v>213</v>
      </c>
      <c r="C59" s="104" t="s">
        <v>86</v>
      </c>
      <c r="D59" s="104" t="s">
        <v>165</v>
      </c>
      <c r="E59" s="106" t="s">
        <v>201</v>
      </c>
      <c r="F59" s="114" t="s">
        <v>164</v>
      </c>
      <c r="G59" s="104" t="s">
        <v>95</v>
      </c>
      <c r="H59" s="108">
        <v>3</v>
      </c>
      <c r="I59" s="105">
        <v>108.38</v>
      </c>
      <c r="J59" s="110">
        <f t="shared" si="27"/>
        <v>139.81</v>
      </c>
      <c r="K59" s="176">
        <f t="shared" si="28"/>
        <v>419.43</v>
      </c>
    </row>
    <row r="60" spans="2:13" s="19" customFormat="1" ht="31.5" x14ac:dyDescent="0.25">
      <c r="B60" s="175" t="s">
        <v>214</v>
      </c>
      <c r="C60" s="104" t="s">
        <v>88</v>
      </c>
      <c r="D60" s="104">
        <v>93382</v>
      </c>
      <c r="E60" s="106" t="s">
        <v>201</v>
      </c>
      <c r="F60" s="114" t="s">
        <v>157</v>
      </c>
      <c r="G60" s="104" t="s">
        <v>95</v>
      </c>
      <c r="H60" s="108">
        <v>15</v>
      </c>
      <c r="I60" s="105">
        <v>22.73</v>
      </c>
      <c r="J60" s="110">
        <f t="shared" si="27"/>
        <v>29.32</v>
      </c>
      <c r="K60" s="176">
        <f t="shared" si="28"/>
        <v>439.8</v>
      </c>
    </row>
    <row r="61" spans="2:13" ht="15.75" x14ac:dyDescent="0.25">
      <c r="B61" s="256" t="s">
        <v>96</v>
      </c>
      <c r="C61" s="257"/>
      <c r="D61" s="257"/>
      <c r="E61" s="257"/>
      <c r="F61" s="257"/>
      <c r="G61" s="257"/>
      <c r="H61" s="257"/>
      <c r="I61" s="257"/>
      <c r="J61" s="257"/>
      <c r="K61" s="181">
        <f>SUM(K56:K60)</f>
        <v>2820.84</v>
      </c>
    </row>
    <row r="62" spans="2:13" s="19" customFormat="1" ht="15.75" x14ac:dyDescent="0.25">
      <c r="B62" s="179" t="s">
        <v>215</v>
      </c>
      <c r="C62" s="258"/>
      <c r="D62" s="259"/>
      <c r="E62" s="231"/>
      <c r="F62" s="112" t="s">
        <v>239</v>
      </c>
      <c r="G62" s="224"/>
      <c r="H62" s="225"/>
      <c r="I62" s="225"/>
      <c r="J62" s="225"/>
      <c r="K62" s="180"/>
    </row>
    <row r="63" spans="2:13" s="19" customFormat="1" ht="47.25" x14ac:dyDescent="0.25">
      <c r="B63" s="175" t="s">
        <v>216</v>
      </c>
      <c r="C63" s="104" t="s">
        <v>88</v>
      </c>
      <c r="D63" s="104">
        <v>90695</v>
      </c>
      <c r="E63" s="106" t="s">
        <v>201</v>
      </c>
      <c r="F63" s="114" t="s">
        <v>173</v>
      </c>
      <c r="G63" s="104" t="s">
        <v>161</v>
      </c>
      <c r="H63" s="108">
        <v>10</v>
      </c>
      <c r="I63" s="105">
        <v>64.23</v>
      </c>
      <c r="J63" s="110">
        <f t="shared" ref="J63:J65" si="29">ROUND(I63*(1+$K$8),2)</f>
        <v>82.86</v>
      </c>
      <c r="K63" s="176">
        <f t="shared" ref="K63:K65" si="30">ROUND(H63*J63,2)</f>
        <v>828.6</v>
      </c>
    </row>
    <row r="64" spans="2:13" s="19" customFormat="1" ht="78.75" x14ac:dyDescent="0.25">
      <c r="B64" s="175" t="s">
        <v>217</v>
      </c>
      <c r="C64" s="104" t="s">
        <v>88</v>
      </c>
      <c r="D64" s="104">
        <v>92839</v>
      </c>
      <c r="E64" s="106" t="s">
        <v>201</v>
      </c>
      <c r="F64" s="114" t="s">
        <v>175</v>
      </c>
      <c r="G64" s="104" t="s">
        <v>161</v>
      </c>
      <c r="H64" s="108">
        <v>10</v>
      </c>
      <c r="I64" s="105">
        <v>364.98</v>
      </c>
      <c r="J64" s="110">
        <f t="shared" si="29"/>
        <v>470.82</v>
      </c>
      <c r="K64" s="176">
        <f t="shared" si="30"/>
        <v>4708.2</v>
      </c>
    </row>
    <row r="65" spans="2:11" s="19" customFormat="1" ht="31.5" x14ac:dyDescent="0.25">
      <c r="B65" s="175" t="s">
        <v>218</v>
      </c>
      <c r="C65" s="104" t="s">
        <v>189</v>
      </c>
      <c r="D65" s="104" t="s">
        <v>190</v>
      </c>
      <c r="E65" s="106" t="s">
        <v>201</v>
      </c>
      <c r="F65" s="114" t="s">
        <v>199</v>
      </c>
      <c r="G65" s="104" t="s">
        <v>7</v>
      </c>
      <c r="H65" s="108">
        <v>2</v>
      </c>
      <c r="I65" s="105">
        <v>1650.4</v>
      </c>
      <c r="J65" s="110">
        <f t="shared" si="29"/>
        <v>2129.02</v>
      </c>
      <c r="K65" s="176">
        <f t="shared" si="30"/>
        <v>4258.04</v>
      </c>
    </row>
    <row r="66" spans="2:11" ht="15.75" x14ac:dyDescent="0.25">
      <c r="B66" s="256" t="s">
        <v>96</v>
      </c>
      <c r="C66" s="257"/>
      <c r="D66" s="257"/>
      <c r="E66" s="257"/>
      <c r="F66" s="257"/>
      <c r="G66" s="257"/>
      <c r="H66" s="257"/>
      <c r="I66" s="257"/>
      <c r="J66" s="257"/>
      <c r="K66" s="181">
        <f>SUM(K63:K65)</f>
        <v>9794.84</v>
      </c>
    </row>
    <row r="67" spans="2:11" s="19" customFormat="1" ht="15.75" x14ac:dyDescent="0.25">
      <c r="B67" s="179" t="s">
        <v>219</v>
      </c>
      <c r="C67" s="258"/>
      <c r="D67" s="259"/>
      <c r="E67" s="231"/>
      <c r="F67" s="112" t="s">
        <v>240</v>
      </c>
      <c r="G67" s="224"/>
      <c r="H67" s="225"/>
      <c r="I67" s="225"/>
      <c r="J67" s="225"/>
      <c r="K67" s="180"/>
    </row>
    <row r="68" spans="2:11" s="19" customFormat="1" ht="52.5" customHeight="1" x14ac:dyDescent="0.25">
      <c r="B68" s="175" t="s">
        <v>220</v>
      </c>
      <c r="C68" s="104" t="s">
        <v>88</v>
      </c>
      <c r="D68" s="104">
        <v>94991</v>
      </c>
      <c r="E68" s="106" t="s">
        <v>201</v>
      </c>
      <c r="F68" s="229" t="s">
        <v>174</v>
      </c>
      <c r="G68" s="104" t="s">
        <v>95</v>
      </c>
      <c r="H68" s="108">
        <v>2.4</v>
      </c>
      <c r="I68" s="105">
        <v>472.78</v>
      </c>
      <c r="J68" s="110">
        <f t="shared" ref="J68" si="31">ROUND(I68*(1+$K$8),2)</f>
        <v>609.89</v>
      </c>
      <c r="K68" s="176">
        <f t="shared" ref="K68" si="32">ROUND(H68*J68,2)</f>
        <v>1463.74</v>
      </c>
    </row>
    <row r="69" spans="2:11" s="19" customFormat="1" ht="31.5" x14ac:dyDescent="0.25">
      <c r="B69" s="175" t="s">
        <v>221</v>
      </c>
      <c r="C69" s="104" t="s">
        <v>88</v>
      </c>
      <c r="D69" s="104" t="s">
        <v>226</v>
      </c>
      <c r="E69" s="106" t="s">
        <v>201</v>
      </c>
      <c r="F69" s="114" t="s">
        <v>225</v>
      </c>
      <c r="G69" s="104" t="s">
        <v>94</v>
      </c>
      <c r="H69" s="108">
        <v>24</v>
      </c>
      <c r="I69" s="105">
        <v>25.12</v>
      </c>
      <c r="J69" s="110">
        <f t="shared" ref="J69:J70" si="33">ROUND(I69*(1+$K$8),2)</f>
        <v>32.4</v>
      </c>
      <c r="K69" s="176">
        <f t="shared" ref="K69:K70" si="34">ROUND(H69*J69,2)</f>
        <v>777.6</v>
      </c>
    </row>
    <row r="70" spans="2:11" s="19" customFormat="1" ht="84" customHeight="1" x14ac:dyDescent="0.25">
      <c r="B70" s="175" t="s">
        <v>222</v>
      </c>
      <c r="C70" s="104" t="s">
        <v>88</v>
      </c>
      <c r="D70" s="104" t="s">
        <v>228</v>
      </c>
      <c r="E70" s="106" t="s">
        <v>201</v>
      </c>
      <c r="F70" s="229" t="s">
        <v>227</v>
      </c>
      <c r="G70" s="104" t="s">
        <v>94</v>
      </c>
      <c r="H70" s="108">
        <v>24</v>
      </c>
      <c r="I70" s="105">
        <v>53.26</v>
      </c>
      <c r="J70" s="110">
        <f t="shared" si="33"/>
        <v>68.709999999999994</v>
      </c>
      <c r="K70" s="176">
        <f t="shared" si="34"/>
        <v>1649.04</v>
      </c>
    </row>
    <row r="71" spans="2:11" ht="15.75" x14ac:dyDescent="0.25">
      <c r="B71" s="256" t="s">
        <v>96</v>
      </c>
      <c r="C71" s="257"/>
      <c r="D71" s="257"/>
      <c r="E71" s="257"/>
      <c r="F71" s="257"/>
      <c r="G71" s="257"/>
      <c r="H71" s="257"/>
      <c r="I71" s="257"/>
      <c r="J71" s="257"/>
      <c r="K71" s="181">
        <f>SUM(K68:K70)</f>
        <v>3890.38</v>
      </c>
    </row>
    <row r="72" spans="2:11" s="19" customFormat="1" ht="15.75" x14ac:dyDescent="0.25">
      <c r="B72" s="179" t="s">
        <v>223</v>
      </c>
      <c r="C72" s="230"/>
      <c r="D72" s="231"/>
      <c r="E72" s="231"/>
      <c r="F72" s="112" t="s">
        <v>241</v>
      </c>
      <c r="G72" s="230"/>
      <c r="H72" s="211"/>
      <c r="I72" s="211"/>
      <c r="J72" s="211"/>
      <c r="K72" s="212"/>
    </row>
    <row r="73" spans="2:11" s="19" customFormat="1" ht="15.75" x14ac:dyDescent="0.25">
      <c r="B73" s="175" t="s">
        <v>224</v>
      </c>
      <c r="C73" s="104" t="s">
        <v>86</v>
      </c>
      <c r="D73" s="119" t="s">
        <v>31</v>
      </c>
      <c r="E73" s="106" t="s">
        <v>201</v>
      </c>
      <c r="F73" s="114" t="s">
        <v>144</v>
      </c>
      <c r="G73" s="104" t="s">
        <v>94</v>
      </c>
      <c r="H73" s="108">
        <v>24</v>
      </c>
      <c r="I73" s="105">
        <v>4.82</v>
      </c>
      <c r="J73" s="110">
        <f>ROUND(I73*(1+$K$8),2)</f>
        <v>6.22</v>
      </c>
      <c r="K73" s="176">
        <f>ROUND(H73*J73,2)</f>
        <v>149.28</v>
      </c>
    </row>
    <row r="74" spans="2:11" ht="15.75" x14ac:dyDescent="0.25">
      <c r="B74" s="256" t="s">
        <v>96</v>
      </c>
      <c r="C74" s="257"/>
      <c r="D74" s="257"/>
      <c r="E74" s="257"/>
      <c r="F74" s="257"/>
      <c r="G74" s="257"/>
      <c r="H74" s="257"/>
      <c r="I74" s="257"/>
      <c r="J74" s="257"/>
      <c r="K74" s="181">
        <f>SUM(K73:K73)</f>
        <v>149.28</v>
      </c>
    </row>
    <row r="75" spans="2:11" ht="15.75" x14ac:dyDescent="0.25">
      <c r="B75" s="278" t="s">
        <v>139</v>
      </c>
      <c r="C75" s="279"/>
      <c r="D75" s="279"/>
      <c r="E75" s="279"/>
      <c r="F75" s="279"/>
      <c r="G75" s="279"/>
      <c r="H75" s="279"/>
      <c r="I75" s="279"/>
      <c r="J75" s="280"/>
      <c r="K75" s="182">
        <f>SUM(K54,K61,K66,K71,K74)</f>
        <v>17142.060000000001</v>
      </c>
    </row>
    <row r="76" spans="2:11" ht="15.75" x14ac:dyDescent="0.25">
      <c r="B76" s="179" t="s">
        <v>229</v>
      </c>
      <c r="C76" s="209"/>
      <c r="D76" s="210"/>
      <c r="E76" s="210"/>
      <c r="F76" s="112" t="s">
        <v>140</v>
      </c>
      <c r="G76" s="209"/>
      <c r="H76" s="211"/>
      <c r="I76" s="211"/>
      <c r="J76" s="211"/>
      <c r="K76" s="212"/>
    </row>
    <row r="77" spans="2:11" ht="31.5" x14ac:dyDescent="0.25">
      <c r="B77" s="175" t="s">
        <v>230</v>
      </c>
      <c r="C77" s="104" t="s">
        <v>86</v>
      </c>
      <c r="D77" s="104" t="s">
        <v>188</v>
      </c>
      <c r="E77" s="106"/>
      <c r="F77" s="114" t="s">
        <v>141</v>
      </c>
      <c r="G77" s="104" t="s">
        <v>142</v>
      </c>
      <c r="H77" s="108">
        <v>0.5</v>
      </c>
      <c r="I77" s="216"/>
      <c r="J77" s="110"/>
      <c r="K77" s="176">
        <f>H77*(K49+K75)/100</f>
        <v>461.46770000000004</v>
      </c>
    </row>
    <row r="78" spans="2:11" ht="15.75" customHeight="1" x14ac:dyDescent="0.25">
      <c r="B78" s="256" t="s">
        <v>96</v>
      </c>
      <c r="C78" s="257"/>
      <c r="D78" s="257"/>
      <c r="E78" s="257"/>
      <c r="F78" s="257"/>
      <c r="G78" s="257"/>
      <c r="H78" s="257"/>
      <c r="I78" s="257"/>
      <c r="J78" s="257"/>
      <c r="K78" s="217">
        <f>K77</f>
        <v>461.46770000000004</v>
      </c>
    </row>
    <row r="79" spans="2:11" ht="15.75" x14ac:dyDescent="0.25">
      <c r="B79" s="278" t="s">
        <v>143</v>
      </c>
      <c r="C79" s="279"/>
      <c r="D79" s="279"/>
      <c r="E79" s="279"/>
      <c r="F79" s="279"/>
      <c r="G79" s="279"/>
      <c r="H79" s="279"/>
      <c r="I79" s="279"/>
      <c r="J79" s="280"/>
      <c r="K79" s="182">
        <f>K49+K75+K78</f>
        <v>92755.007700000002</v>
      </c>
    </row>
    <row r="80" spans="2:11" ht="15.75" x14ac:dyDescent="0.25">
      <c r="B80" s="218"/>
      <c r="C80" s="219"/>
      <c r="D80" s="219"/>
      <c r="E80" s="219"/>
      <c r="F80" s="219"/>
      <c r="G80" s="219"/>
      <c r="H80" s="219"/>
      <c r="I80" s="219"/>
      <c r="J80" s="219"/>
      <c r="K80" s="220"/>
    </row>
    <row r="81" spans="2:11" x14ac:dyDescent="0.25">
      <c r="B81" s="177"/>
      <c r="C81" s="213"/>
      <c r="D81" s="213"/>
      <c r="E81" s="213"/>
      <c r="F81" s="166" t="s">
        <v>136</v>
      </c>
      <c r="G81" s="213"/>
      <c r="H81" s="142"/>
      <c r="I81" s="141"/>
      <c r="J81" s="141"/>
      <c r="K81" s="183"/>
    </row>
    <row r="82" spans="2:11" x14ac:dyDescent="0.25">
      <c r="B82" s="177"/>
      <c r="C82" s="213"/>
      <c r="D82" s="213"/>
      <c r="E82" s="213"/>
      <c r="F82" s="167" t="s">
        <v>137</v>
      </c>
      <c r="G82" s="213"/>
      <c r="H82" s="276"/>
      <c r="I82" s="276"/>
      <c r="J82" s="276"/>
      <c r="K82" s="277"/>
    </row>
    <row r="83" spans="2:11" x14ac:dyDescent="0.25">
      <c r="B83" s="274"/>
      <c r="C83" s="275"/>
      <c r="D83" s="275"/>
      <c r="E83" s="275"/>
      <c r="F83" s="167" t="s">
        <v>138</v>
      </c>
      <c r="G83" s="269"/>
      <c r="H83" s="269"/>
      <c r="I83" s="269"/>
      <c r="J83" s="269"/>
      <c r="K83" s="214"/>
    </row>
    <row r="84" spans="2:11" x14ac:dyDescent="0.25">
      <c r="B84" s="272"/>
      <c r="C84" s="273"/>
      <c r="D84" s="273"/>
      <c r="E84" s="273"/>
      <c r="F84" s="208"/>
      <c r="G84" s="269"/>
      <c r="H84" s="269"/>
      <c r="I84" s="269"/>
      <c r="J84" s="269"/>
      <c r="K84" s="214"/>
    </row>
    <row r="85" spans="2:11" ht="15.75" thickBot="1" x14ac:dyDescent="0.3">
      <c r="B85" s="265"/>
      <c r="C85" s="266"/>
      <c r="D85" s="266"/>
      <c r="E85" s="266"/>
      <c r="F85" s="184"/>
      <c r="G85" s="267"/>
      <c r="H85" s="267"/>
      <c r="I85" s="267"/>
      <c r="J85" s="267"/>
      <c r="K85" s="268"/>
    </row>
    <row r="86" spans="2:11" ht="15.75" thickTop="1" x14ac:dyDescent="0.25">
      <c r="K86" s="15"/>
    </row>
  </sheetData>
  <mergeCells count="39">
    <mergeCell ref="C67:D67"/>
    <mergeCell ref="B71:J71"/>
    <mergeCell ref="B75:J75"/>
    <mergeCell ref="B74:J74"/>
    <mergeCell ref="B54:J54"/>
    <mergeCell ref="C55:D55"/>
    <mergeCell ref="B61:J61"/>
    <mergeCell ref="C62:D62"/>
    <mergeCell ref="B66:J66"/>
    <mergeCell ref="B85:E85"/>
    <mergeCell ref="G85:K85"/>
    <mergeCell ref="G83:J83"/>
    <mergeCell ref="G84:J84"/>
    <mergeCell ref="B18:J18"/>
    <mergeCell ref="C19:D19"/>
    <mergeCell ref="B84:E84"/>
    <mergeCell ref="B83:E83"/>
    <mergeCell ref="B27:J27"/>
    <mergeCell ref="H82:K82"/>
    <mergeCell ref="B78:J78"/>
    <mergeCell ref="B79:J79"/>
    <mergeCell ref="B49:J49"/>
    <mergeCell ref="B48:J48"/>
    <mergeCell ref="C35:D35"/>
    <mergeCell ref="B42:J42"/>
    <mergeCell ref="B45:J45"/>
    <mergeCell ref="C28:D28"/>
    <mergeCell ref="B34:J34"/>
    <mergeCell ref="B8:H8"/>
    <mergeCell ref="I8:J8"/>
    <mergeCell ref="B4:K4"/>
    <mergeCell ref="B1:I1"/>
    <mergeCell ref="J1:K2"/>
    <mergeCell ref="I7:K7"/>
    <mergeCell ref="B7:H7"/>
    <mergeCell ref="B2:I2"/>
    <mergeCell ref="B3:K3"/>
    <mergeCell ref="B5:K5"/>
    <mergeCell ref="B6:K6"/>
  </mergeCells>
  <phoneticPr fontId="13" type="noConversion"/>
  <printOptions horizontalCentered="1" verticalCentered="1"/>
  <pageMargins left="0.25" right="0.25" top="0.75" bottom="0.75" header="0.3" footer="0.3"/>
  <pageSetup paperSize="9" scale="60" fitToHeight="0" orientation="portrait" horizontalDpi="4294967293" verticalDpi="4294967293" r:id="rId1"/>
  <rowBreaks count="2" manualBreakCount="2">
    <brk id="34" min="1" max="10" man="1"/>
    <brk id="61" min="1" max="10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0"/>
  <sheetViews>
    <sheetView view="pageBreakPreview" zoomScale="115" zoomScaleNormal="145" zoomScaleSheetLayoutView="115" workbookViewId="0">
      <selection activeCell="D18" sqref="D18"/>
    </sheetView>
  </sheetViews>
  <sheetFormatPr defaultColWidth="11.42578125" defaultRowHeight="12.75" x14ac:dyDescent="0.2"/>
  <cols>
    <col min="1" max="1" width="27.5703125" style="149" customWidth="1"/>
    <col min="2" max="2" width="26.5703125" style="149" customWidth="1"/>
    <col min="3" max="3" width="43.28515625" style="149" customWidth="1"/>
    <col min="4" max="4" width="15" style="149" customWidth="1"/>
    <col min="5" max="5" width="0" style="149" hidden="1" customWidth="1"/>
    <col min="6" max="250" width="11.42578125" style="149"/>
    <col min="251" max="251" width="27.5703125" style="149" customWidth="1"/>
    <col min="252" max="252" width="26.5703125" style="149" customWidth="1"/>
    <col min="253" max="253" width="40.140625" style="149" customWidth="1"/>
    <col min="254" max="254" width="15" style="149" customWidth="1"/>
    <col min="255" max="506" width="11.42578125" style="149"/>
    <col min="507" max="507" width="27.5703125" style="149" customWidth="1"/>
    <col min="508" max="508" width="26.5703125" style="149" customWidth="1"/>
    <col min="509" max="509" width="40.140625" style="149" customWidth="1"/>
    <col min="510" max="510" width="15" style="149" customWidth="1"/>
    <col min="511" max="762" width="11.42578125" style="149"/>
    <col min="763" max="763" width="27.5703125" style="149" customWidth="1"/>
    <col min="764" max="764" width="26.5703125" style="149" customWidth="1"/>
    <col min="765" max="765" width="40.140625" style="149" customWidth="1"/>
    <col min="766" max="766" width="15" style="149" customWidth="1"/>
    <col min="767" max="1018" width="11.42578125" style="149"/>
    <col min="1019" max="1019" width="27.5703125" style="149" customWidth="1"/>
    <col min="1020" max="1020" width="26.5703125" style="149" customWidth="1"/>
    <col min="1021" max="1021" width="40.140625" style="149" customWidth="1"/>
    <col min="1022" max="1022" width="15" style="149" customWidth="1"/>
    <col min="1023" max="1274" width="11.42578125" style="149"/>
    <col min="1275" max="1275" width="27.5703125" style="149" customWidth="1"/>
    <col min="1276" max="1276" width="26.5703125" style="149" customWidth="1"/>
    <col min="1277" max="1277" width="40.140625" style="149" customWidth="1"/>
    <col min="1278" max="1278" width="15" style="149" customWidth="1"/>
    <col min="1279" max="1530" width="11.42578125" style="149"/>
    <col min="1531" max="1531" width="27.5703125" style="149" customWidth="1"/>
    <col min="1532" max="1532" width="26.5703125" style="149" customWidth="1"/>
    <col min="1533" max="1533" width="40.140625" style="149" customWidth="1"/>
    <col min="1534" max="1534" width="15" style="149" customWidth="1"/>
    <col min="1535" max="1786" width="11.42578125" style="149"/>
    <col min="1787" max="1787" width="27.5703125" style="149" customWidth="1"/>
    <col min="1788" max="1788" width="26.5703125" style="149" customWidth="1"/>
    <col min="1789" max="1789" width="40.140625" style="149" customWidth="1"/>
    <col min="1790" max="1790" width="15" style="149" customWidth="1"/>
    <col min="1791" max="2042" width="11.42578125" style="149"/>
    <col min="2043" max="2043" width="27.5703125" style="149" customWidth="1"/>
    <col min="2044" max="2044" width="26.5703125" style="149" customWidth="1"/>
    <col min="2045" max="2045" width="40.140625" style="149" customWidth="1"/>
    <col min="2046" max="2046" width="15" style="149" customWidth="1"/>
    <col min="2047" max="2298" width="11.42578125" style="149"/>
    <col min="2299" max="2299" width="27.5703125" style="149" customWidth="1"/>
    <col min="2300" max="2300" width="26.5703125" style="149" customWidth="1"/>
    <col min="2301" max="2301" width="40.140625" style="149" customWidth="1"/>
    <col min="2302" max="2302" width="15" style="149" customWidth="1"/>
    <col min="2303" max="2554" width="11.42578125" style="149"/>
    <col min="2555" max="2555" width="27.5703125" style="149" customWidth="1"/>
    <col min="2556" max="2556" width="26.5703125" style="149" customWidth="1"/>
    <col min="2557" max="2557" width="40.140625" style="149" customWidth="1"/>
    <col min="2558" max="2558" width="15" style="149" customWidth="1"/>
    <col min="2559" max="2810" width="11.42578125" style="149"/>
    <col min="2811" max="2811" width="27.5703125" style="149" customWidth="1"/>
    <col min="2812" max="2812" width="26.5703125" style="149" customWidth="1"/>
    <col min="2813" max="2813" width="40.140625" style="149" customWidth="1"/>
    <col min="2814" max="2814" width="15" style="149" customWidth="1"/>
    <col min="2815" max="3066" width="11.42578125" style="149"/>
    <col min="3067" max="3067" width="27.5703125" style="149" customWidth="1"/>
    <col min="3068" max="3068" width="26.5703125" style="149" customWidth="1"/>
    <col min="3069" max="3069" width="40.140625" style="149" customWidth="1"/>
    <col min="3070" max="3070" width="15" style="149" customWidth="1"/>
    <col min="3071" max="3322" width="11.42578125" style="149"/>
    <col min="3323" max="3323" width="27.5703125" style="149" customWidth="1"/>
    <col min="3324" max="3324" width="26.5703125" style="149" customWidth="1"/>
    <col min="3325" max="3325" width="40.140625" style="149" customWidth="1"/>
    <col min="3326" max="3326" width="15" style="149" customWidth="1"/>
    <col min="3327" max="3578" width="11.42578125" style="149"/>
    <col min="3579" max="3579" width="27.5703125" style="149" customWidth="1"/>
    <col min="3580" max="3580" width="26.5703125" style="149" customWidth="1"/>
    <col min="3581" max="3581" width="40.140625" style="149" customWidth="1"/>
    <col min="3582" max="3582" width="15" style="149" customWidth="1"/>
    <col min="3583" max="3834" width="11.42578125" style="149"/>
    <col min="3835" max="3835" width="27.5703125" style="149" customWidth="1"/>
    <col min="3836" max="3836" width="26.5703125" style="149" customWidth="1"/>
    <col min="3837" max="3837" width="40.140625" style="149" customWidth="1"/>
    <col min="3838" max="3838" width="15" style="149" customWidth="1"/>
    <col min="3839" max="4090" width="11.42578125" style="149"/>
    <col min="4091" max="4091" width="27.5703125" style="149" customWidth="1"/>
    <col min="4092" max="4092" width="26.5703125" style="149" customWidth="1"/>
    <col min="4093" max="4093" width="40.140625" style="149" customWidth="1"/>
    <col min="4094" max="4094" width="15" style="149" customWidth="1"/>
    <col min="4095" max="4346" width="11.42578125" style="149"/>
    <col min="4347" max="4347" width="27.5703125" style="149" customWidth="1"/>
    <col min="4348" max="4348" width="26.5703125" style="149" customWidth="1"/>
    <col min="4349" max="4349" width="40.140625" style="149" customWidth="1"/>
    <col min="4350" max="4350" width="15" style="149" customWidth="1"/>
    <col min="4351" max="4602" width="11.42578125" style="149"/>
    <col min="4603" max="4603" width="27.5703125" style="149" customWidth="1"/>
    <col min="4604" max="4604" width="26.5703125" style="149" customWidth="1"/>
    <col min="4605" max="4605" width="40.140625" style="149" customWidth="1"/>
    <col min="4606" max="4606" width="15" style="149" customWidth="1"/>
    <col min="4607" max="4858" width="11.42578125" style="149"/>
    <col min="4859" max="4859" width="27.5703125" style="149" customWidth="1"/>
    <col min="4860" max="4860" width="26.5703125" style="149" customWidth="1"/>
    <col min="4861" max="4861" width="40.140625" style="149" customWidth="1"/>
    <col min="4862" max="4862" width="15" style="149" customWidth="1"/>
    <col min="4863" max="5114" width="11.42578125" style="149"/>
    <col min="5115" max="5115" width="27.5703125" style="149" customWidth="1"/>
    <col min="5116" max="5116" width="26.5703125" style="149" customWidth="1"/>
    <col min="5117" max="5117" width="40.140625" style="149" customWidth="1"/>
    <col min="5118" max="5118" width="15" style="149" customWidth="1"/>
    <col min="5119" max="5370" width="11.42578125" style="149"/>
    <col min="5371" max="5371" width="27.5703125" style="149" customWidth="1"/>
    <col min="5372" max="5372" width="26.5703125" style="149" customWidth="1"/>
    <col min="5373" max="5373" width="40.140625" style="149" customWidth="1"/>
    <col min="5374" max="5374" width="15" style="149" customWidth="1"/>
    <col min="5375" max="5626" width="11.42578125" style="149"/>
    <col min="5627" max="5627" width="27.5703125" style="149" customWidth="1"/>
    <col min="5628" max="5628" width="26.5703125" style="149" customWidth="1"/>
    <col min="5629" max="5629" width="40.140625" style="149" customWidth="1"/>
    <col min="5630" max="5630" width="15" style="149" customWidth="1"/>
    <col min="5631" max="5882" width="11.42578125" style="149"/>
    <col min="5883" max="5883" width="27.5703125" style="149" customWidth="1"/>
    <col min="5884" max="5884" width="26.5703125" style="149" customWidth="1"/>
    <col min="5885" max="5885" width="40.140625" style="149" customWidth="1"/>
    <col min="5886" max="5886" width="15" style="149" customWidth="1"/>
    <col min="5887" max="6138" width="11.42578125" style="149"/>
    <col min="6139" max="6139" width="27.5703125" style="149" customWidth="1"/>
    <col min="6140" max="6140" width="26.5703125" style="149" customWidth="1"/>
    <col min="6141" max="6141" width="40.140625" style="149" customWidth="1"/>
    <col min="6142" max="6142" width="15" style="149" customWidth="1"/>
    <col min="6143" max="6394" width="11.42578125" style="149"/>
    <col min="6395" max="6395" width="27.5703125" style="149" customWidth="1"/>
    <col min="6396" max="6396" width="26.5703125" style="149" customWidth="1"/>
    <col min="6397" max="6397" width="40.140625" style="149" customWidth="1"/>
    <col min="6398" max="6398" width="15" style="149" customWidth="1"/>
    <col min="6399" max="6650" width="11.42578125" style="149"/>
    <col min="6651" max="6651" width="27.5703125" style="149" customWidth="1"/>
    <col min="6652" max="6652" width="26.5703125" style="149" customWidth="1"/>
    <col min="6653" max="6653" width="40.140625" style="149" customWidth="1"/>
    <col min="6654" max="6654" width="15" style="149" customWidth="1"/>
    <col min="6655" max="6906" width="11.42578125" style="149"/>
    <col min="6907" max="6907" width="27.5703125" style="149" customWidth="1"/>
    <col min="6908" max="6908" width="26.5703125" style="149" customWidth="1"/>
    <col min="6909" max="6909" width="40.140625" style="149" customWidth="1"/>
    <col min="6910" max="6910" width="15" style="149" customWidth="1"/>
    <col min="6911" max="7162" width="11.42578125" style="149"/>
    <col min="7163" max="7163" width="27.5703125" style="149" customWidth="1"/>
    <col min="7164" max="7164" width="26.5703125" style="149" customWidth="1"/>
    <col min="7165" max="7165" width="40.140625" style="149" customWidth="1"/>
    <col min="7166" max="7166" width="15" style="149" customWidth="1"/>
    <col min="7167" max="7418" width="11.42578125" style="149"/>
    <col min="7419" max="7419" width="27.5703125" style="149" customWidth="1"/>
    <col min="7420" max="7420" width="26.5703125" style="149" customWidth="1"/>
    <col min="7421" max="7421" width="40.140625" style="149" customWidth="1"/>
    <col min="7422" max="7422" width="15" style="149" customWidth="1"/>
    <col min="7423" max="7674" width="11.42578125" style="149"/>
    <col min="7675" max="7675" width="27.5703125" style="149" customWidth="1"/>
    <col min="7676" max="7676" width="26.5703125" style="149" customWidth="1"/>
    <col min="7677" max="7677" width="40.140625" style="149" customWidth="1"/>
    <col min="7678" max="7678" width="15" style="149" customWidth="1"/>
    <col min="7679" max="7930" width="11.42578125" style="149"/>
    <col min="7931" max="7931" width="27.5703125" style="149" customWidth="1"/>
    <col min="7932" max="7932" width="26.5703125" style="149" customWidth="1"/>
    <col min="7933" max="7933" width="40.140625" style="149" customWidth="1"/>
    <col min="7934" max="7934" width="15" style="149" customWidth="1"/>
    <col min="7935" max="8186" width="11.42578125" style="149"/>
    <col min="8187" max="8187" width="27.5703125" style="149" customWidth="1"/>
    <col min="8188" max="8188" width="26.5703125" style="149" customWidth="1"/>
    <col min="8189" max="8189" width="40.140625" style="149" customWidth="1"/>
    <col min="8190" max="8190" width="15" style="149" customWidth="1"/>
    <col min="8191" max="8442" width="11.42578125" style="149"/>
    <col min="8443" max="8443" width="27.5703125" style="149" customWidth="1"/>
    <col min="8444" max="8444" width="26.5703125" style="149" customWidth="1"/>
    <col min="8445" max="8445" width="40.140625" style="149" customWidth="1"/>
    <col min="8446" max="8446" width="15" style="149" customWidth="1"/>
    <col min="8447" max="8698" width="11.42578125" style="149"/>
    <col min="8699" max="8699" width="27.5703125" style="149" customWidth="1"/>
    <col min="8700" max="8700" width="26.5703125" style="149" customWidth="1"/>
    <col min="8701" max="8701" width="40.140625" style="149" customWidth="1"/>
    <col min="8702" max="8702" width="15" style="149" customWidth="1"/>
    <col min="8703" max="8954" width="11.42578125" style="149"/>
    <col min="8955" max="8955" width="27.5703125" style="149" customWidth="1"/>
    <col min="8956" max="8956" width="26.5703125" style="149" customWidth="1"/>
    <col min="8957" max="8957" width="40.140625" style="149" customWidth="1"/>
    <col min="8958" max="8958" width="15" style="149" customWidth="1"/>
    <col min="8959" max="9210" width="11.42578125" style="149"/>
    <col min="9211" max="9211" width="27.5703125" style="149" customWidth="1"/>
    <col min="9212" max="9212" width="26.5703125" style="149" customWidth="1"/>
    <col min="9213" max="9213" width="40.140625" style="149" customWidth="1"/>
    <col min="9214" max="9214" width="15" style="149" customWidth="1"/>
    <col min="9215" max="9466" width="11.42578125" style="149"/>
    <col min="9467" max="9467" width="27.5703125" style="149" customWidth="1"/>
    <col min="9468" max="9468" width="26.5703125" style="149" customWidth="1"/>
    <col min="9469" max="9469" width="40.140625" style="149" customWidth="1"/>
    <col min="9470" max="9470" width="15" style="149" customWidth="1"/>
    <col min="9471" max="9722" width="11.42578125" style="149"/>
    <col min="9723" max="9723" width="27.5703125" style="149" customWidth="1"/>
    <col min="9724" max="9724" width="26.5703125" style="149" customWidth="1"/>
    <col min="9725" max="9725" width="40.140625" style="149" customWidth="1"/>
    <col min="9726" max="9726" width="15" style="149" customWidth="1"/>
    <col min="9727" max="9978" width="11.42578125" style="149"/>
    <col min="9979" max="9979" width="27.5703125" style="149" customWidth="1"/>
    <col min="9980" max="9980" width="26.5703125" style="149" customWidth="1"/>
    <col min="9981" max="9981" width="40.140625" style="149" customWidth="1"/>
    <col min="9982" max="9982" width="15" style="149" customWidth="1"/>
    <col min="9983" max="10234" width="11.42578125" style="149"/>
    <col min="10235" max="10235" width="27.5703125" style="149" customWidth="1"/>
    <col min="10236" max="10236" width="26.5703125" style="149" customWidth="1"/>
    <col min="10237" max="10237" width="40.140625" style="149" customWidth="1"/>
    <col min="10238" max="10238" width="15" style="149" customWidth="1"/>
    <col min="10239" max="10490" width="11.42578125" style="149"/>
    <col min="10491" max="10491" width="27.5703125" style="149" customWidth="1"/>
    <col min="10492" max="10492" width="26.5703125" style="149" customWidth="1"/>
    <col min="10493" max="10493" width="40.140625" style="149" customWidth="1"/>
    <col min="10494" max="10494" width="15" style="149" customWidth="1"/>
    <col min="10495" max="10746" width="11.42578125" style="149"/>
    <col min="10747" max="10747" width="27.5703125" style="149" customWidth="1"/>
    <col min="10748" max="10748" width="26.5703125" style="149" customWidth="1"/>
    <col min="10749" max="10749" width="40.140625" style="149" customWidth="1"/>
    <col min="10750" max="10750" width="15" style="149" customWidth="1"/>
    <col min="10751" max="11002" width="11.42578125" style="149"/>
    <col min="11003" max="11003" width="27.5703125" style="149" customWidth="1"/>
    <col min="11004" max="11004" width="26.5703125" style="149" customWidth="1"/>
    <col min="11005" max="11005" width="40.140625" style="149" customWidth="1"/>
    <col min="11006" max="11006" width="15" style="149" customWidth="1"/>
    <col min="11007" max="11258" width="11.42578125" style="149"/>
    <col min="11259" max="11259" width="27.5703125" style="149" customWidth="1"/>
    <col min="11260" max="11260" width="26.5703125" style="149" customWidth="1"/>
    <col min="11261" max="11261" width="40.140625" style="149" customWidth="1"/>
    <col min="11262" max="11262" width="15" style="149" customWidth="1"/>
    <col min="11263" max="11514" width="11.42578125" style="149"/>
    <col min="11515" max="11515" width="27.5703125" style="149" customWidth="1"/>
    <col min="11516" max="11516" width="26.5703125" style="149" customWidth="1"/>
    <col min="11517" max="11517" width="40.140625" style="149" customWidth="1"/>
    <col min="11518" max="11518" width="15" style="149" customWidth="1"/>
    <col min="11519" max="11770" width="11.42578125" style="149"/>
    <col min="11771" max="11771" width="27.5703125" style="149" customWidth="1"/>
    <col min="11772" max="11772" width="26.5703125" style="149" customWidth="1"/>
    <col min="11773" max="11773" width="40.140625" style="149" customWidth="1"/>
    <col min="11774" max="11774" width="15" style="149" customWidth="1"/>
    <col min="11775" max="12026" width="11.42578125" style="149"/>
    <col min="12027" max="12027" width="27.5703125" style="149" customWidth="1"/>
    <col min="12028" max="12028" width="26.5703125" style="149" customWidth="1"/>
    <col min="12029" max="12029" width="40.140625" style="149" customWidth="1"/>
    <col min="12030" max="12030" width="15" style="149" customWidth="1"/>
    <col min="12031" max="12282" width="11.42578125" style="149"/>
    <col min="12283" max="12283" width="27.5703125" style="149" customWidth="1"/>
    <col min="12284" max="12284" width="26.5703125" style="149" customWidth="1"/>
    <col min="12285" max="12285" width="40.140625" style="149" customWidth="1"/>
    <col min="12286" max="12286" width="15" style="149" customWidth="1"/>
    <col min="12287" max="12538" width="11.42578125" style="149"/>
    <col min="12539" max="12539" width="27.5703125" style="149" customWidth="1"/>
    <col min="12540" max="12540" width="26.5703125" style="149" customWidth="1"/>
    <col min="12541" max="12541" width="40.140625" style="149" customWidth="1"/>
    <col min="12542" max="12542" width="15" style="149" customWidth="1"/>
    <col min="12543" max="12794" width="11.42578125" style="149"/>
    <col min="12795" max="12795" width="27.5703125" style="149" customWidth="1"/>
    <col min="12796" max="12796" width="26.5703125" style="149" customWidth="1"/>
    <col min="12797" max="12797" width="40.140625" style="149" customWidth="1"/>
    <col min="12798" max="12798" width="15" style="149" customWidth="1"/>
    <col min="12799" max="13050" width="11.42578125" style="149"/>
    <col min="13051" max="13051" width="27.5703125" style="149" customWidth="1"/>
    <col min="13052" max="13052" width="26.5703125" style="149" customWidth="1"/>
    <col min="13053" max="13053" width="40.140625" style="149" customWidth="1"/>
    <col min="13054" max="13054" width="15" style="149" customWidth="1"/>
    <col min="13055" max="13306" width="11.42578125" style="149"/>
    <col min="13307" max="13307" width="27.5703125" style="149" customWidth="1"/>
    <col min="13308" max="13308" width="26.5703125" style="149" customWidth="1"/>
    <col min="13309" max="13309" width="40.140625" style="149" customWidth="1"/>
    <col min="13310" max="13310" width="15" style="149" customWidth="1"/>
    <col min="13311" max="13562" width="11.42578125" style="149"/>
    <col min="13563" max="13563" width="27.5703125" style="149" customWidth="1"/>
    <col min="13564" max="13564" width="26.5703125" style="149" customWidth="1"/>
    <col min="13565" max="13565" width="40.140625" style="149" customWidth="1"/>
    <col min="13566" max="13566" width="15" style="149" customWidth="1"/>
    <col min="13567" max="13818" width="11.42578125" style="149"/>
    <col min="13819" max="13819" width="27.5703125" style="149" customWidth="1"/>
    <col min="13820" max="13820" width="26.5703125" style="149" customWidth="1"/>
    <col min="13821" max="13821" width="40.140625" style="149" customWidth="1"/>
    <col min="13822" max="13822" width="15" style="149" customWidth="1"/>
    <col min="13823" max="14074" width="11.42578125" style="149"/>
    <col min="14075" max="14075" width="27.5703125" style="149" customWidth="1"/>
    <col min="14076" max="14076" width="26.5703125" style="149" customWidth="1"/>
    <col min="14077" max="14077" width="40.140625" style="149" customWidth="1"/>
    <col min="14078" max="14078" width="15" style="149" customWidth="1"/>
    <col min="14079" max="14330" width="11.42578125" style="149"/>
    <col min="14331" max="14331" width="27.5703125" style="149" customWidth="1"/>
    <col min="14332" max="14332" width="26.5703125" style="149" customWidth="1"/>
    <col min="14333" max="14333" width="40.140625" style="149" customWidth="1"/>
    <col min="14334" max="14334" width="15" style="149" customWidth="1"/>
    <col min="14335" max="14586" width="11.42578125" style="149"/>
    <col min="14587" max="14587" width="27.5703125" style="149" customWidth="1"/>
    <col min="14588" max="14588" width="26.5703125" style="149" customWidth="1"/>
    <col min="14589" max="14589" width="40.140625" style="149" customWidth="1"/>
    <col min="14590" max="14590" width="15" style="149" customWidth="1"/>
    <col min="14591" max="14842" width="11.42578125" style="149"/>
    <col min="14843" max="14843" width="27.5703125" style="149" customWidth="1"/>
    <col min="14844" max="14844" width="26.5703125" style="149" customWidth="1"/>
    <col min="14845" max="14845" width="40.140625" style="149" customWidth="1"/>
    <col min="14846" max="14846" width="15" style="149" customWidth="1"/>
    <col min="14847" max="15098" width="11.42578125" style="149"/>
    <col min="15099" max="15099" width="27.5703125" style="149" customWidth="1"/>
    <col min="15100" max="15100" width="26.5703125" style="149" customWidth="1"/>
    <col min="15101" max="15101" width="40.140625" style="149" customWidth="1"/>
    <col min="15102" max="15102" width="15" style="149" customWidth="1"/>
    <col min="15103" max="15354" width="11.42578125" style="149"/>
    <col min="15355" max="15355" width="27.5703125" style="149" customWidth="1"/>
    <col min="15356" max="15356" width="26.5703125" style="149" customWidth="1"/>
    <col min="15357" max="15357" width="40.140625" style="149" customWidth="1"/>
    <col min="15358" max="15358" width="15" style="149" customWidth="1"/>
    <col min="15359" max="15610" width="11.42578125" style="149"/>
    <col min="15611" max="15611" width="27.5703125" style="149" customWidth="1"/>
    <col min="15612" max="15612" width="26.5703125" style="149" customWidth="1"/>
    <col min="15613" max="15613" width="40.140625" style="149" customWidth="1"/>
    <col min="15614" max="15614" width="15" style="149" customWidth="1"/>
    <col min="15615" max="15866" width="11.42578125" style="149"/>
    <col min="15867" max="15867" width="27.5703125" style="149" customWidth="1"/>
    <col min="15868" max="15868" width="26.5703125" style="149" customWidth="1"/>
    <col min="15869" max="15869" width="40.140625" style="149" customWidth="1"/>
    <col min="15870" max="15870" width="15" style="149" customWidth="1"/>
    <col min="15871" max="16122" width="11.42578125" style="149"/>
    <col min="16123" max="16123" width="27.5703125" style="149" customWidth="1"/>
    <col min="16124" max="16124" width="26.5703125" style="149" customWidth="1"/>
    <col min="16125" max="16125" width="40.140625" style="149" customWidth="1"/>
    <col min="16126" max="16126" width="15" style="149" customWidth="1"/>
    <col min="16127" max="16384" width="11.42578125" style="149"/>
  </cols>
  <sheetData>
    <row r="1" spans="1:4" s="1" customFormat="1" ht="70.5" customHeight="1" thickTop="1" x14ac:dyDescent="0.25">
      <c r="A1" s="303" t="s">
        <v>82</v>
      </c>
      <c r="B1" s="242"/>
      <c r="C1" s="242"/>
      <c r="D1" s="304"/>
    </row>
    <row r="2" spans="1:4" s="1" customFormat="1" ht="15.75" x14ac:dyDescent="0.25">
      <c r="A2" s="251" t="s">
        <v>135</v>
      </c>
      <c r="B2" s="252"/>
      <c r="C2" s="252"/>
      <c r="D2" s="305"/>
    </row>
    <row r="3" spans="1:4" s="1" customFormat="1" ht="15" x14ac:dyDescent="0.25">
      <c r="A3" s="253" t="s">
        <v>243</v>
      </c>
      <c r="B3" s="254"/>
      <c r="C3" s="254"/>
      <c r="D3" s="255"/>
    </row>
    <row r="4" spans="1:4" s="1" customFormat="1" ht="15" x14ac:dyDescent="0.25">
      <c r="A4" s="238" t="s">
        <v>245</v>
      </c>
      <c r="B4" s="239"/>
      <c r="C4" s="239"/>
      <c r="D4" s="240"/>
    </row>
    <row r="5" spans="1:4" s="1" customFormat="1" ht="15" x14ac:dyDescent="0.25">
      <c r="A5" s="238" t="s">
        <v>150</v>
      </c>
      <c r="B5" s="239"/>
      <c r="C5" s="239"/>
      <c r="D5" s="240"/>
    </row>
    <row r="6" spans="1:4" s="1" customFormat="1" ht="15" x14ac:dyDescent="0.25">
      <c r="A6" s="238" t="s">
        <v>153</v>
      </c>
      <c r="B6" s="239"/>
      <c r="C6" s="239"/>
      <c r="D6" s="240"/>
    </row>
    <row r="7" spans="1:4" s="1" customFormat="1" ht="15" x14ac:dyDescent="0.25">
      <c r="A7" s="238" t="s">
        <v>168</v>
      </c>
      <c r="B7" s="239"/>
      <c r="C7" s="239"/>
      <c r="D7" s="240"/>
    </row>
    <row r="8" spans="1:4" s="1" customFormat="1" ht="15" x14ac:dyDescent="0.25">
      <c r="A8" s="284" t="s">
        <v>102</v>
      </c>
      <c r="B8" s="285"/>
      <c r="C8" s="285"/>
      <c r="D8" s="286"/>
    </row>
    <row r="9" spans="1:4" ht="29.45" customHeight="1" x14ac:dyDescent="0.2">
      <c r="A9" s="301" t="s">
        <v>104</v>
      </c>
      <c r="B9" s="302"/>
      <c r="C9" s="302"/>
      <c r="D9" s="282"/>
    </row>
    <row r="10" spans="1:4" ht="14.65" customHeight="1" x14ac:dyDescent="0.2">
      <c r="A10" s="301" t="s">
        <v>105</v>
      </c>
      <c r="B10" s="281" t="s">
        <v>106</v>
      </c>
      <c r="C10" s="281" t="s">
        <v>149</v>
      </c>
      <c r="D10" s="282" t="s">
        <v>107</v>
      </c>
    </row>
    <row r="11" spans="1:4" ht="16.5" customHeight="1" x14ac:dyDescent="0.2">
      <c r="A11" s="301"/>
      <c r="B11" s="281"/>
      <c r="C11" s="281"/>
      <c r="D11" s="283"/>
    </row>
    <row r="12" spans="1:4" ht="15.75" x14ac:dyDescent="0.2">
      <c r="A12" s="187" t="s">
        <v>108</v>
      </c>
      <c r="B12" s="154" t="s">
        <v>109</v>
      </c>
      <c r="C12" s="155">
        <v>1</v>
      </c>
      <c r="D12" s="188"/>
    </row>
    <row r="13" spans="1:4" ht="30" x14ac:dyDescent="0.2">
      <c r="A13" s="187" t="s">
        <v>110</v>
      </c>
      <c r="B13" s="154" t="s">
        <v>111</v>
      </c>
      <c r="C13" s="155">
        <v>4.8899999999999999E-2</v>
      </c>
      <c r="D13" s="188" t="s">
        <v>109</v>
      </c>
    </row>
    <row r="14" spans="1:4" ht="15.75" x14ac:dyDescent="0.2">
      <c r="A14" s="187" t="s">
        <v>112</v>
      </c>
      <c r="B14" s="154" t="s">
        <v>113</v>
      </c>
      <c r="C14" s="155">
        <v>7.3999999999999996E-2</v>
      </c>
      <c r="D14" s="188" t="s">
        <v>109</v>
      </c>
    </row>
    <row r="15" spans="1:4" ht="30" x14ac:dyDescent="0.2">
      <c r="A15" s="187" t="s">
        <v>114</v>
      </c>
      <c r="B15" s="154" t="s">
        <v>115</v>
      </c>
      <c r="C15" s="155">
        <v>1.4E-3</v>
      </c>
      <c r="D15" s="188" t="s">
        <v>109</v>
      </c>
    </row>
    <row r="16" spans="1:4" ht="30" x14ac:dyDescent="0.2">
      <c r="A16" s="187" t="s">
        <v>116</v>
      </c>
      <c r="B16" s="156"/>
      <c r="C16" s="157">
        <v>2.2700000000000001E-2</v>
      </c>
      <c r="D16" s="215" t="s">
        <v>109</v>
      </c>
    </row>
    <row r="17" spans="1:5" ht="30" x14ac:dyDescent="0.2">
      <c r="A17" s="187" t="s">
        <v>117</v>
      </c>
      <c r="B17" s="154" t="s">
        <v>118</v>
      </c>
      <c r="C17" s="155">
        <v>0.01</v>
      </c>
      <c r="D17" s="188" t="s">
        <v>109</v>
      </c>
    </row>
    <row r="18" spans="1:5" ht="15.75" x14ac:dyDescent="0.2">
      <c r="A18" s="187" t="s">
        <v>119</v>
      </c>
      <c r="B18" s="154" t="s">
        <v>120</v>
      </c>
      <c r="C18" s="155">
        <v>1.2699999999999999E-2</v>
      </c>
      <c r="D18" s="188" t="s">
        <v>109</v>
      </c>
    </row>
    <row r="19" spans="1:5" ht="15.75" x14ac:dyDescent="0.2">
      <c r="A19" s="187" t="s">
        <v>121</v>
      </c>
      <c r="B19" s="154" t="s">
        <v>69</v>
      </c>
      <c r="C19" s="157">
        <f>SUM(C20:C22)</f>
        <v>6.1499999999999999E-2</v>
      </c>
      <c r="D19" s="215" t="s">
        <v>122</v>
      </c>
    </row>
    <row r="20" spans="1:5" ht="15" x14ac:dyDescent="0.2">
      <c r="A20" s="187" t="s">
        <v>123</v>
      </c>
      <c r="B20" s="156" t="s">
        <v>123</v>
      </c>
      <c r="C20" s="155">
        <v>2.5000000000000001E-2</v>
      </c>
      <c r="D20" s="188" t="s">
        <v>122</v>
      </c>
    </row>
    <row r="21" spans="1:5" ht="15" x14ac:dyDescent="0.2">
      <c r="A21" s="187" t="s">
        <v>76</v>
      </c>
      <c r="B21" s="156" t="s">
        <v>76</v>
      </c>
      <c r="C21" s="155">
        <v>6.4999999999999997E-3</v>
      </c>
      <c r="D21" s="188" t="s">
        <v>122</v>
      </c>
    </row>
    <row r="22" spans="1:5" ht="15" x14ac:dyDescent="0.2">
      <c r="A22" s="187" t="s">
        <v>124</v>
      </c>
      <c r="B22" s="156" t="s">
        <v>124</v>
      </c>
      <c r="C22" s="155">
        <v>0.03</v>
      </c>
      <c r="D22" s="188" t="s">
        <v>122</v>
      </c>
    </row>
    <row r="23" spans="1:5" ht="15" x14ac:dyDescent="0.2">
      <c r="A23" s="187" t="s">
        <v>125</v>
      </c>
      <c r="B23" s="156" t="s">
        <v>126</v>
      </c>
      <c r="C23" s="155">
        <v>4.4999999999999998E-2</v>
      </c>
      <c r="D23" s="188" t="s">
        <v>122</v>
      </c>
    </row>
    <row r="24" spans="1:5" ht="17.100000000000001" customHeight="1" x14ac:dyDescent="0.2">
      <c r="A24" s="293"/>
      <c r="B24" s="294"/>
      <c r="C24" s="294"/>
      <c r="D24" s="295"/>
    </row>
    <row r="25" spans="1:5" ht="15" x14ac:dyDescent="0.2">
      <c r="A25" s="296" t="s">
        <v>127</v>
      </c>
      <c r="B25" s="297" t="s">
        <v>128</v>
      </c>
      <c r="C25" s="155" t="s">
        <v>129</v>
      </c>
      <c r="D25" s="189"/>
    </row>
    <row r="26" spans="1:5" ht="15" x14ac:dyDescent="0.2">
      <c r="A26" s="296"/>
      <c r="B26" s="297"/>
      <c r="C26" s="155" t="s">
        <v>130</v>
      </c>
      <c r="D26" s="189"/>
    </row>
    <row r="27" spans="1:5" ht="15" x14ac:dyDescent="0.2">
      <c r="A27" s="298"/>
      <c r="B27" s="158" t="s">
        <v>131</v>
      </c>
      <c r="C27" s="155">
        <f>(1+(C13+C16))*(1+C15)*(1+C14)-1</f>
        <v>0.15250965776000025</v>
      </c>
      <c r="D27" s="299"/>
    </row>
    <row r="28" spans="1:5" ht="15" x14ac:dyDescent="0.2">
      <c r="A28" s="298"/>
      <c r="B28" s="158" t="s">
        <v>132</v>
      </c>
      <c r="C28" s="155">
        <f>(1-(C19+C23))</f>
        <v>0.89349999999999996</v>
      </c>
      <c r="D28" s="299"/>
    </row>
    <row r="29" spans="1:5" x14ac:dyDescent="0.2">
      <c r="A29" s="298"/>
      <c r="B29" s="297" t="s">
        <v>128</v>
      </c>
      <c r="C29" s="300">
        <f>ROUND((1+C27)/C28-1,2)</f>
        <v>0.28999999999999998</v>
      </c>
      <c r="D29" s="299"/>
    </row>
    <row r="30" spans="1:5" x14ac:dyDescent="0.2">
      <c r="A30" s="298"/>
      <c r="B30" s="297"/>
      <c r="C30" s="300"/>
      <c r="D30" s="299"/>
      <c r="E30" s="163">
        <f>C29</f>
        <v>0.28999999999999998</v>
      </c>
    </row>
    <row r="31" spans="1:5" ht="17.100000000000001" customHeight="1" x14ac:dyDescent="0.2">
      <c r="A31" s="287" t="s">
        <v>133</v>
      </c>
      <c r="B31" s="288"/>
      <c r="C31" s="288"/>
      <c r="D31" s="289"/>
    </row>
    <row r="32" spans="1:5" ht="92.65" customHeight="1" x14ac:dyDescent="0.2">
      <c r="A32" s="290" t="s">
        <v>134</v>
      </c>
      <c r="B32" s="291"/>
      <c r="C32" s="291"/>
      <c r="D32" s="292"/>
    </row>
    <row r="33" spans="1:6" ht="18.75" customHeight="1" x14ac:dyDescent="0.25">
      <c r="A33" s="190"/>
      <c r="B33" s="164"/>
      <c r="C33" s="166" t="s">
        <v>136</v>
      </c>
      <c r="D33" s="191"/>
      <c r="E33" s="160"/>
      <c r="F33" s="162"/>
    </row>
    <row r="34" spans="1:6" ht="12.75" customHeight="1" x14ac:dyDescent="0.25">
      <c r="A34" s="192"/>
      <c r="B34" s="165"/>
      <c r="C34" s="166" t="s">
        <v>137</v>
      </c>
      <c r="D34" s="191"/>
      <c r="E34" s="160"/>
      <c r="F34" s="162"/>
    </row>
    <row r="35" spans="1:6" ht="13.5" x14ac:dyDescent="0.25">
      <c r="A35" s="192"/>
      <c r="B35" s="165"/>
      <c r="C35" s="166" t="s">
        <v>138</v>
      </c>
      <c r="D35" s="193"/>
      <c r="E35" s="116"/>
      <c r="F35" s="162"/>
    </row>
    <row r="36" spans="1:6" ht="15.75" thickBot="1" x14ac:dyDescent="0.25">
      <c r="A36" s="194"/>
      <c r="B36" s="195"/>
      <c r="C36" s="196"/>
      <c r="D36" s="197"/>
      <c r="E36" s="162"/>
      <c r="F36" s="162"/>
    </row>
    <row r="37" spans="1:6" ht="16.5" thickTop="1" x14ac:dyDescent="0.25">
      <c r="A37" s="152"/>
      <c r="B37" s="152"/>
      <c r="C37" s="151"/>
      <c r="D37" s="151"/>
    </row>
    <row r="38" spans="1:6" ht="15" x14ac:dyDescent="0.2">
      <c r="A38" s="150"/>
      <c r="B38" s="151"/>
      <c r="C38" s="151"/>
      <c r="D38" s="151"/>
    </row>
    <row r="39" spans="1:6" ht="15" x14ac:dyDescent="0.2">
      <c r="A39" s="150"/>
      <c r="B39" s="151"/>
      <c r="C39" s="151"/>
      <c r="D39" s="151"/>
    </row>
    <row r="40" spans="1:6" ht="15" x14ac:dyDescent="0.2">
      <c r="A40" s="150"/>
      <c r="B40" s="151"/>
      <c r="C40" s="151"/>
      <c r="D40" s="151"/>
    </row>
    <row r="41" spans="1:6" ht="15.75" x14ac:dyDescent="0.25">
      <c r="A41" s="152"/>
      <c r="B41" s="153"/>
    </row>
    <row r="42" spans="1:6" ht="15.75" x14ac:dyDescent="0.25">
      <c r="A42" s="152"/>
      <c r="B42" s="153"/>
    </row>
    <row r="43" spans="1:6" ht="15.75" x14ac:dyDescent="0.25">
      <c r="A43" s="152"/>
      <c r="B43" s="153"/>
    </row>
    <row r="44" spans="1:6" ht="15.75" x14ac:dyDescent="0.25">
      <c r="A44" s="152"/>
      <c r="B44" s="153"/>
    </row>
    <row r="47" spans="1:6" ht="15.75" x14ac:dyDescent="0.25">
      <c r="A47" s="152"/>
      <c r="B47" s="153"/>
    </row>
    <row r="48" spans="1:6" ht="15.75" x14ac:dyDescent="0.25">
      <c r="A48" s="152"/>
      <c r="B48" s="153"/>
    </row>
    <row r="49" spans="1:2" ht="15.75" x14ac:dyDescent="0.25">
      <c r="A49" s="152"/>
      <c r="B49" s="153"/>
    </row>
    <row r="50" spans="1:2" ht="15.75" x14ac:dyDescent="0.25">
      <c r="A50" s="152"/>
    </row>
  </sheetData>
  <sheetProtection selectLockedCells="1" selectUnlockedCells="1"/>
  <mergeCells count="22">
    <mergeCell ref="A1:D1"/>
    <mergeCell ref="A2:D2"/>
    <mergeCell ref="A3:D3"/>
    <mergeCell ref="A4:D4"/>
    <mergeCell ref="A7:D7"/>
    <mergeCell ref="A5:D5"/>
    <mergeCell ref="A6:D6"/>
    <mergeCell ref="C10:C11"/>
    <mergeCell ref="D10:D11"/>
    <mergeCell ref="A8:D8"/>
    <mergeCell ref="A31:D31"/>
    <mergeCell ref="A32:D32"/>
    <mergeCell ref="A24:D24"/>
    <mergeCell ref="A25:A26"/>
    <mergeCell ref="B25:B26"/>
    <mergeCell ref="A27:A30"/>
    <mergeCell ref="D27:D30"/>
    <mergeCell ref="B29:B30"/>
    <mergeCell ref="C29:C30"/>
    <mergeCell ref="A9:D9"/>
    <mergeCell ref="A10:A11"/>
    <mergeCell ref="B10:B11"/>
  </mergeCells>
  <printOptions horizontalCentered="1" verticalCentered="1"/>
  <pageMargins left="0.25" right="0.25" top="0.75" bottom="0.75" header="0.3" footer="0.3"/>
  <pageSetup paperSize="9" scale="88" firstPageNumber="0" fitToHeight="0" orientation="portrait" r:id="rId1"/>
  <ignoredErrors>
    <ignoredError sqref="C1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H47"/>
  <sheetViews>
    <sheetView view="pageBreakPreview" topLeftCell="A7" zoomScaleNormal="100" zoomScaleSheetLayoutView="100" workbookViewId="0">
      <selection activeCell="C35" sqref="C35"/>
    </sheetView>
  </sheetViews>
  <sheetFormatPr defaultRowHeight="15" x14ac:dyDescent="0.25"/>
  <cols>
    <col min="1" max="1" width="12.5703125" customWidth="1"/>
    <col min="2" max="2" width="45.28515625" customWidth="1"/>
    <col min="3" max="3" width="20.140625" customWidth="1"/>
    <col min="4" max="4" width="16.42578125" bestFit="1" customWidth="1"/>
    <col min="5" max="5" width="14.140625" customWidth="1"/>
    <col min="6" max="6" width="13.28515625" bestFit="1" customWidth="1"/>
    <col min="7" max="7" width="7.5703125" customWidth="1"/>
  </cols>
  <sheetData>
    <row r="1" spans="1:8" ht="58.5" customHeight="1" thickTop="1" x14ac:dyDescent="0.25">
      <c r="A1" s="241" t="s">
        <v>82</v>
      </c>
      <c r="B1" s="242"/>
      <c r="C1" s="242"/>
      <c r="D1" s="242"/>
      <c r="E1" s="242"/>
      <c r="F1" s="242"/>
      <c r="G1" s="243"/>
      <c r="H1" s="244"/>
    </row>
    <row r="2" spans="1:8" ht="15.75" x14ac:dyDescent="0.25">
      <c r="A2" s="251" t="s">
        <v>15</v>
      </c>
      <c r="B2" s="252"/>
      <c r="C2" s="252"/>
      <c r="D2" s="252"/>
      <c r="E2" s="252"/>
      <c r="F2" s="252"/>
      <c r="G2" s="245"/>
      <c r="H2" s="246"/>
    </row>
    <row r="3" spans="1:8" x14ac:dyDescent="0.25">
      <c r="A3" s="253" t="s">
        <v>244</v>
      </c>
      <c r="B3" s="254"/>
      <c r="C3" s="254"/>
      <c r="D3" s="254"/>
      <c r="E3" s="254"/>
      <c r="F3" s="254"/>
      <c r="G3" s="254"/>
      <c r="H3" s="255"/>
    </row>
    <row r="4" spans="1:8" x14ac:dyDescent="0.25">
      <c r="A4" s="238" t="s">
        <v>245</v>
      </c>
      <c r="B4" s="239"/>
      <c r="C4" s="239"/>
      <c r="D4" s="239"/>
      <c r="E4" s="239"/>
      <c r="F4" s="239"/>
      <c r="G4" s="239"/>
      <c r="H4" s="240"/>
    </row>
    <row r="5" spans="1:8" s="1" customFormat="1" x14ac:dyDescent="0.25">
      <c r="A5" s="238" t="s">
        <v>152</v>
      </c>
      <c r="B5" s="239"/>
      <c r="C5" s="239"/>
      <c r="D5" s="239"/>
      <c r="E5" s="239"/>
      <c r="F5" s="239"/>
      <c r="G5" s="239"/>
      <c r="H5" s="240"/>
    </row>
    <row r="6" spans="1:8" s="1" customFormat="1" x14ac:dyDescent="0.25">
      <c r="A6" s="238" t="s">
        <v>153</v>
      </c>
      <c r="B6" s="239"/>
      <c r="C6" s="239"/>
      <c r="D6" s="239"/>
      <c r="E6" s="239"/>
      <c r="F6" s="239"/>
      <c r="G6" s="239"/>
      <c r="H6" s="240"/>
    </row>
    <row r="7" spans="1:8" x14ac:dyDescent="0.25">
      <c r="A7" s="320" t="s">
        <v>167</v>
      </c>
      <c r="B7" s="321"/>
      <c r="C7" s="321"/>
      <c r="D7" s="321"/>
      <c r="E7" s="321"/>
      <c r="F7" s="321"/>
      <c r="G7" s="322"/>
      <c r="H7" s="323"/>
    </row>
    <row r="8" spans="1:8" ht="12" customHeight="1" x14ac:dyDescent="0.25">
      <c r="A8" s="284" t="s">
        <v>102</v>
      </c>
      <c r="B8" s="285"/>
      <c r="C8" s="285"/>
      <c r="D8" s="285"/>
      <c r="E8" s="285"/>
      <c r="F8" s="285"/>
      <c r="G8" s="170" t="s">
        <v>75</v>
      </c>
      <c r="H8" s="222">
        <f>'BDI '!E30</f>
        <v>0.28999999999999998</v>
      </c>
    </row>
    <row r="9" spans="1:8" s="1" customFormat="1" ht="18.75" customHeight="1" x14ac:dyDescent="0.25">
      <c r="A9" s="198" t="s">
        <v>5</v>
      </c>
      <c r="B9" s="120" t="s">
        <v>16</v>
      </c>
      <c r="C9" s="169" t="s">
        <v>17</v>
      </c>
      <c r="D9" s="169" t="s">
        <v>18</v>
      </c>
      <c r="E9" s="120" t="s">
        <v>19</v>
      </c>
      <c r="F9" s="120" t="s">
        <v>20</v>
      </c>
      <c r="G9" s="326" t="s">
        <v>12</v>
      </c>
      <c r="H9" s="327"/>
    </row>
    <row r="10" spans="1:8" ht="15" customHeight="1" x14ac:dyDescent="0.25">
      <c r="A10" s="311" t="s">
        <v>92</v>
      </c>
      <c r="B10" s="306" t="str">
        <f>'PLANILHA ORÇAMENTÁRIA'!F10</f>
        <v>SERVIÇOS PRELIMINARES / ADMINISTRAÇÃO LOCAL</v>
      </c>
      <c r="C10" s="121" t="s">
        <v>21</v>
      </c>
      <c r="D10" s="127">
        <f>D11/D37</f>
        <v>3.4181766339285199E-2</v>
      </c>
      <c r="E10" s="122">
        <v>0.75</v>
      </c>
      <c r="F10" s="122">
        <v>0.25</v>
      </c>
      <c r="G10" s="328">
        <f t="shared" ref="G10:G37" si="0">SUM(E10:F10)</f>
        <v>1</v>
      </c>
      <c r="H10" s="329"/>
    </row>
    <row r="11" spans="1:8" ht="15" customHeight="1" x14ac:dyDescent="0.25">
      <c r="A11" s="311"/>
      <c r="B11" s="306"/>
      <c r="C11" s="123" t="s">
        <v>22</v>
      </c>
      <c r="D11" s="128">
        <f>'PLANILHA ORÇAMENTÁRIA'!K13</f>
        <v>3170.5299999999997</v>
      </c>
      <c r="E11" s="124">
        <f>E10*$D$11</f>
        <v>2377.8975</v>
      </c>
      <c r="F11" s="124">
        <f t="shared" ref="F11" si="1">F10*$D$11</f>
        <v>792.63249999999994</v>
      </c>
      <c r="G11" s="330">
        <f t="shared" si="0"/>
        <v>3170.5299999999997</v>
      </c>
      <c r="H11" s="331"/>
    </row>
    <row r="12" spans="1:8" ht="15.75" x14ac:dyDescent="0.25">
      <c r="A12" s="311" t="s">
        <v>91</v>
      </c>
      <c r="B12" s="306" t="str">
        <f>'PLANILHA ORÇAMENTÁRIA'!F15</f>
        <v>DEMOLIÇÕES E REMOÇÕES (PONTO 01)</v>
      </c>
      <c r="C12" s="121" t="s">
        <v>21</v>
      </c>
      <c r="D12" s="127">
        <f>D13/D37</f>
        <v>7.0449026548892197E-3</v>
      </c>
      <c r="E12" s="122">
        <v>1</v>
      </c>
      <c r="F12" s="122">
        <v>0</v>
      </c>
      <c r="G12" s="332">
        <f t="shared" si="0"/>
        <v>1</v>
      </c>
      <c r="H12" s="333"/>
    </row>
    <row r="13" spans="1:8" ht="15.75" x14ac:dyDescent="0.25">
      <c r="A13" s="311"/>
      <c r="B13" s="306"/>
      <c r="C13" s="125" t="s">
        <v>22</v>
      </c>
      <c r="D13" s="128">
        <f>'PLANILHA ORÇAMENTÁRIA'!K18</f>
        <v>653.45000000000005</v>
      </c>
      <c r="E13" s="124">
        <f>E12*$D$13</f>
        <v>653.45000000000005</v>
      </c>
      <c r="F13" s="124">
        <f t="shared" ref="F13" si="2">F12*$D$13</f>
        <v>0</v>
      </c>
      <c r="G13" s="334">
        <f t="shared" si="0"/>
        <v>653.45000000000005</v>
      </c>
      <c r="H13" s="335"/>
    </row>
    <row r="14" spans="1:8" ht="15.75" x14ac:dyDescent="0.25">
      <c r="A14" s="311" t="s">
        <v>93</v>
      </c>
      <c r="B14" s="306" t="str">
        <f>'PLANILHA ORÇAMENTÁRIA'!F19</f>
        <v>MOVIMENTAÇÕES DE TERRA (PONTO 01)</v>
      </c>
      <c r="C14" s="121" t="s">
        <v>21</v>
      </c>
      <c r="D14" s="127">
        <f>D15/D37</f>
        <v>0.10406392322470799</v>
      </c>
      <c r="E14" s="122">
        <v>1</v>
      </c>
      <c r="F14" s="122">
        <v>0</v>
      </c>
      <c r="G14" s="307">
        <f t="shared" si="0"/>
        <v>1</v>
      </c>
      <c r="H14" s="308"/>
    </row>
    <row r="15" spans="1:8" ht="15.75" x14ac:dyDescent="0.25">
      <c r="A15" s="311"/>
      <c r="B15" s="306"/>
      <c r="C15" s="125" t="s">
        <v>22</v>
      </c>
      <c r="D15" s="128">
        <f>'PLANILHA ORÇAMENTÁRIA'!K27</f>
        <v>9652.4499999999989</v>
      </c>
      <c r="E15" s="124">
        <f>E14*$D$15</f>
        <v>9652.4499999999989</v>
      </c>
      <c r="F15" s="124">
        <f t="shared" ref="F15" si="3">F14*$D$15</f>
        <v>0</v>
      </c>
      <c r="G15" s="316">
        <f t="shared" si="0"/>
        <v>9652.4499999999989</v>
      </c>
      <c r="H15" s="317"/>
    </row>
    <row r="16" spans="1:8" s="1" customFormat="1" ht="15.75" x14ac:dyDescent="0.25">
      <c r="A16" s="311" t="s">
        <v>98</v>
      </c>
      <c r="B16" s="306" t="str">
        <f>'PLANILHA ORÇAMENTÁRIA'!F28</f>
        <v>TUBULAÇÃO E CAIXAS (PONTO 01)</v>
      </c>
      <c r="C16" s="121" t="s">
        <v>21</v>
      </c>
      <c r="D16" s="127">
        <f>D17/D37</f>
        <v>0.36821699277374975</v>
      </c>
      <c r="E16" s="122">
        <v>1</v>
      </c>
      <c r="F16" s="122">
        <v>0</v>
      </c>
      <c r="G16" s="307">
        <f t="shared" si="0"/>
        <v>1</v>
      </c>
      <c r="H16" s="308"/>
    </row>
    <row r="17" spans="1:8" s="1" customFormat="1" ht="15.75" x14ac:dyDescent="0.25">
      <c r="A17" s="311"/>
      <c r="B17" s="306"/>
      <c r="C17" s="125" t="s">
        <v>22</v>
      </c>
      <c r="D17" s="128">
        <f>'PLANILHA ORÇAMENTÁRIA'!K34</f>
        <v>34153.97</v>
      </c>
      <c r="E17" s="124">
        <f>E16*$D$17</f>
        <v>34153.97</v>
      </c>
      <c r="F17" s="124">
        <f>F16*$D$17</f>
        <v>0</v>
      </c>
      <c r="G17" s="309">
        <f t="shared" si="0"/>
        <v>34153.97</v>
      </c>
      <c r="H17" s="310"/>
    </row>
    <row r="18" spans="1:8" s="1" customFormat="1" ht="15.75" x14ac:dyDescent="0.25">
      <c r="A18" s="311" t="s">
        <v>99</v>
      </c>
      <c r="B18" s="306" t="str">
        <f>'PLANILHA ORÇAMENTÁRIA'!F35</f>
        <v>MURO / PISO (PONTO 01)</v>
      </c>
      <c r="C18" s="121" t="s">
        <v>21</v>
      </c>
      <c r="D18" s="127">
        <f>D19/D37</f>
        <v>0.29093437291580321</v>
      </c>
      <c r="E18" s="122">
        <v>0.5</v>
      </c>
      <c r="F18" s="122">
        <v>0.5</v>
      </c>
      <c r="G18" s="307">
        <f t="shared" si="0"/>
        <v>1</v>
      </c>
      <c r="H18" s="308"/>
    </row>
    <row r="19" spans="1:8" s="1" customFormat="1" ht="15.75" x14ac:dyDescent="0.25">
      <c r="A19" s="311"/>
      <c r="B19" s="306"/>
      <c r="C19" s="125" t="s">
        <v>22</v>
      </c>
      <c r="D19" s="128">
        <f>'PLANILHA ORÇAMENTÁRIA'!K42</f>
        <v>26985.62</v>
      </c>
      <c r="E19" s="124">
        <f>E18*$D$19</f>
        <v>13492.81</v>
      </c>
      <c r="F19" s="124">
        <f>F18*$D$19</f>
        <v>13492.81</v>
      </c>
      <c r="G19" s="309">
        <f t="shared" si="0"/>
        <v>26985.62</v>
      </c>
      <c r="H19" s="310"/>
    </row>
    <row r="20" spans="1:8" s="1" customFormat="1" ht="15.75" x14ac:dyDescent="0.25">
      <c r="A20" s="311" t="s">
        <v>101</v>
      </c>
      <c r="B20" s="306" t="str">
        <f>'PLANILHA ORÇAMENTÁRIA'!F43</f>
        <v>REVEGETAÇÃO (PONTO 01)</v>
      </c>
      <c r="C20" s="121" t="s">
        <v>21</v>
      </c>
      <c r="D20" s="127">
        <f>D21/D37</f>
        <v>3.1575653677618095E-3</v>
      </c>
      <c r="E20" s="122">
        <v>0</v>
      </c>
      <c r="F20" s="122">
        <v>1</v>
      </c>
      <c r="G20" s="307">
        <f t="shared" si="0"/>
        <v>1</v>
      </c>
      <c r="H20" s="308"/>
    </row>
    <row r="21" spans="1:8" s="1" customFormat="1" ht="15.75" x14ac:dyDescent="0.25">
      <c r="A21" s="311"/>
      <c r="B21" s="306"/>
      <c r="C21" s="125" t="s">
        <v>22</v>
      </c>
      <c r="D21" s="128">
        <f>'PLANILHA ORÇAMENTÁRIA'!K45</f>
        <v>292.88</v>
      </c>
      <c r="E21" s="124">
        <f>E20*$D$21</f>
        <v>0</v>
      </c>
      <c r="F21" s="124">
        <f>F20*$D$21</f>
        <v>292.88</v>
      </c>
      <c r="G21" s="309">
        <f t="shared" si="0"/>
        <v>292.88</v>
      </c>
      <c r="H21" s="310"/>
    </row>
    <row r="22" spans="1:8" s="1" customFormat="1" ht="15.75" x14ac:dyDescent="0.25">
      <c r="A22" s="311" t="s">
        <v>103</v>
      </c>
      <c r="B22" s="306" t="str">
        <f>'PLANILHA ORÇAMENTÁRIA'!F46</f>
        <v>LIMPEZA GERAL DE OBRA (PONTO 01)</v>
      </c>
      <c r="C22" s="121" t="s">
        <v>21</v>
      </c>
      <c r="D22" s="127">
        <f>D23/D37</f>
        <v>2.6152765873793359E-3</v>
      </c>
      <c r="E22" s="122">
        <v>0</v>
      </c>
      <c r="F22" s="122">
        <v>1</v>
      </c>
      <c r="G22" s="307">
        <f t="shared" si="0"/>
        <v>1</v>
      </c>
      <c r="H22" s="308"/>
    </row>
    <row r="23" spans="1:8" s="1" customFormat="1" ht="15.75" x14ac:dyDescent="0.25">
      <c r="A23" s="311"/>
      <c r="B23" s="306"/>
      <c r="C23" s="125" t="s">
        <v>22</v>
      </c>
      <c r="D23" s="128">
        <f>'PLANILHA ORÇAMENTÁRIA'!K48</f>
        <v>242.58</v>
      </c>
      <c r="E23" s="124">
        <f>E22*$D$23</f>
        <v>0</v>
      </c>
      <c r="F23" s="124">
        <f>F22*$D$23</f>
        <v>242.58</v>
      </c>
      <c r="G23" s="309">
        <f t="shared" si="0"/>
        <v>242.58</v>
      </c>
      <c r="H23" s="310"/>
    </row>
    <row r="24" spans="1:8" s="1" customFormat="1" ht="15.75" x14ac:dyDescent="0.25">
      <c r="A24" s="311" t="s">
        <v>148</v>
      </c>
      <c r="B24" s="306" t="str">
        <f>'PLANILHA ORÇAMENTÁRIA'!F51</f>
        <v>DEMOLIÇÕES E REMOÇÕES (PONTO 02)</v>
      </c>
      <c r="C24" s="121" t="s">
        <v>21</v>
      </c>
      <c r="D24" s="127">
        <f>D25/D37</f>
        <v>5.2473716737128796E-3</v>
      </c>
      <c r="E24" s="122">
        <v>0.5</v>
      </c>
      <c r="F24" s="122">
        <v>0.5</v>
      </c>
      <c r="G24" s="307">
        <f t="shared" ref="G24:G29" si="4">SUM(E24:F24)</f>
        <v>1</v>
      </c>
      <c r="H24" s="308"/>
    </row>
    <row r="25" spans="1:8" s="1" customFormat="1" ht="15.75" x14ac:dyDescent="0.25">
      <c r="A25" s="311"/>
      <c r="B25" s="306"/>
      <c r="C25" s="125" t="s">
        <v>22</v>
      </c>
      <c r="D25" s="128">
        <f>'PLANILHA ORÇAMENTÁRIA'!K54</f>
        <v>486.72</v>
      </c>
      <c r="E25" s="124">
        <f>E24*$D$25</f>
        <v>243.36</v>
      </c>
      <c r="F25" s="124">
        <f>F24*$D$25</f>
        <v>243.36</v>
      </c>
      <c r="G25" s="309">
        <f t="shared" si="4"/>
        <v>486.72</v>
      </c>
      <c r="H25" s="310"/>
    </row>
    <row r="26" spans="1:8" s="1" customFormat="1" ht="15.75" x14ac:dyDescent="0.25">
      <c r="A26" s="311" t="s">
        <v>209</v>
      </c>
      <c r="B26" s="306" t="str">
        <f>'PLANILHA ORÇAMENTÁRIA'!F55</f>
        <v>MOVIMENTAÇÕES DE TERRA (PONTO 02)</v>
      </c>
      <c r="C26" s="121" t="s">
        <v>21</v>
      </c>
      <c r="D26" s="127">
        <f>D27/D37</f>
        <v>3.0411727301274324E-2</v>
      </c>
      <c r="E26" s="122">
        <v>0.5</v>
      </c>
      <c r="F26" s="122">
        <v>0.5</v>
      </c>
      <c r="G26" s="307">
        <f t="shared" ref="G26:G27" si="5">SUM(E26:F26)</f>
        <v>1</v>
      </c>
      <c r="H26" s="308"/>
    </row>
    <row r="27" spans="1:8" s="1" customFormat="1" ht="15.75" x14ac:dyDescent="0.25">
      <c r="A27" s="311"/>
      <c r="B27" s="306"/>
      <c r="C27" s="125" t="s">
        <v>22</v>
      </c>
      <c r="D27" s="128">
        <f>'PLANILHA ORÇAMENTÁRIA'!K61</f>
        <v>2820.84</v>
      </c>
      <c r="E27" s="124">
        <f>E26*$D$27</f>
        <v>1410.42</v>
      </c>
      <c r="F27" s="124">
        <f>F26*$D$27</f>
        <v>1410.42</v>
      </c>
      <c r="G27" s="309">
        <f t="shared" si="5"/>
        <v>2820.84</v>
      </c>
      <c r="H27" s="310"/>
    </row>
    <row r="28" spans="1:8" s="1" customFormat="1" ht="15.75" x14ac:dyDescent="0.25">
      <c r="A28" s="311" t="s">
        <v>215</v>
      </c>
      <c r="B28" s="306" t="str">
        <f>'PLANILHA ORÇAMENTÁRIA'!F62</f>
        <v>TUBULAÇÃO E CAIXAS (PONTO 02)</v>
      </c>
      <c r="C28" s="121" t="s">
        <v>21</v>
      </c>
      <c r="D28" s="127">
        <f>D29/D37</f>
        <v>0.10559904249784241</v>
      </c>
      <c r="E28" s="122">
        <v>0.5</v>
      </c>
      <c r="F28" s="122">
        <v>0.5</v>
      </c>
      <c r="G28" s="307">
        <f t="shared" si="4"/>
        <v>1</v>
      </c>
      <c r="H28" s="308"/>
    </row>
    <row r="29" spans="1:8" s="1" customFormat="1" ht="15.75" x14ac:dyDescent="0.25">
      <c r="A29" s="311"/>
      <c r="B29" s="306"/>
      <c r="C29" s="125" t="s">
        <v>22</v>
      </c>
      <c r="D29" s="128">
        <f>'PLANILHA ORÇAMENTÁRIA'!K66</f>
        <v>9794.84</v>
      </c>
      <c r="E29" s="124">
        <f>E28*$D$29</f>
        <v>4897.42</v>
      </c>
      <c r="F29" s="124">
        <f>F28*$D$29</f>
        <v>4897.42</v>
      </c>
      <c r="G29" s="309">
        <f t="shared" si="4"/>
        <v>9794.84</v>
      </c>
      <c r="H29" s="310"/>
    </row>
    <row r="30" spans="1:8" s="1" customFormat="1" ht="15.75" x14ac:dyDescent="0.25">
      <c r="A30" s="311" t="s">
        <v>219</v>
      </c>
      <c r="B30" s="306" t="str">
        <f>'PLANILHA ORÇAMENTÁRIA'!F67</f>
        <v>PISO (PONTO 02)</v>
      </c>
      <c r="C30" s="121" t="s">
        <v>21</v>
      </c>
      <c r="D30" s="127">
        <f>D31/D37</f>
        <v>4.1942533308635586E-2</v>
      </c>
      <c r="E30" s="122">
        <v>0.5</v>
      </c>
      <c r="F30" s="122">
        <v>0.5</v>
      </c>
      <c r="G30" s="307">
        <f t="shared" ref="G30:G31" si="6">SUM(E30:F30)</f>
        <v>1</v>
      </c>
      <c r="H30" s="308"/>
    </row>
    <row r="31" spans="1:8" s="1" customFormat="1" ht="15.75" x14ac:dyDescent="0.25">
      <c r="A31" s="311"/>
      <c r="B31" s="306"/>
      <c r="C31" s="125" t="s">
        <v>22</v>
      </c>
      <c r="D31" s="128">
        <f>'PLANILHA ORÇAMENTÁRIA'!K71</f>
        <v>3890.38</v>
      </c>
      <c r="E31" s="124">
        <f>E30*$D$31</f>
        <v>1945.19</v>
      </c>
      <c r="F31" s="124">
        <f>F30*$D$31</f>
        <v>1945.19</v>
      </c>
      <c r="G31" s="309">
        <f t="shared" si="6"/>
        <v>3890.38</v>
      </c>
      <c r="H31" s="310"/>
    </row>
    <row r="32" spans="1:8" s="1" customFormat="1" ht="15.75" x14ac:dyDescent="0.25">
      <c r="A32" s="311" t="s">
        <v>223</v>
      </c>
      <c r="B32" s="306" t="str">
        <f>'PLANILHA ORÇAMENTÁRIA'!F72</f>
        <v>LIMPEZA GERAL DE OBRA (PONTO 02)</v>
      </c>
      <c r="C32" s="121" t="s">
        <v>21</v>
      </c>
      <c r="D32" s="127">
        <f>D33/D37</f>
        <v>1.6094009768488219E-3</v>
      </c>
      <c r="E32" s="122">
        <v>0.5</v>
      </c>
      <c r="F32" s="122">
        <v>0.5</v>
      </c>
      <c r="G32" s="307">
        <f t="shared" ref="G32:G33" si="7">SUM(E32:F32)</f>
        <v>1</v>
      </c>
      <c r="H32" s="308"/>
    </row>
    <row r="33" spans="1:8" s="1" customFormat="1" ht="15.75" x14ac:dyDescent="0.25">
      <c r="A33" s="311"/>
      <c r="B33" s="306"/>
      <c r="C33" s="125" t="s">
        <v>22</v>
      </c>
      <c r="D33" s="128">
        <f>'PLANILHA ORÇAMENTÁRIA'!K74</f>
        <v>149.28</v>
      </c>
      <c r="E33" s="124">
        <f>E32*$D$33</f>
        <v>74.64</v>
      </c>
      <c r="F33" s="124">
        <f>F32*$D$33</f>
        <v>74.64</v>
      </c>
      <c r="G33" s="309">
        <f t="shared" si="7"/>
        <v>149.28</v>
      </c>
      <c r="H33" s="310"/>
    </row>
    <row r="34" spans="1:8" s="1" customFormat="1" ht="15.75" x14ac:dyDescent="0.25">
      <c r="A34" s="311" t="s">
        <v>229</v>
      </c>
      <c r="B34" s="306" t="str">
        <f>'PLANILHA ORÇAMENTÁRIA'!F76</f>
        <v>MOBILIZAÇÃO</v>
      </c>
      <c r="C34" s="121" t="s">
        <v>21</v>
      </c>
      <c r="D34" s="127">
        <f>D35/D37</f>
        <v>4.9751243781094526E-3</v>
      </c>
      <c r="E34" s="122">
        <v>0.5</v>
      </c>
      <c r="F34" s="122">
        <v>0.5</v>
      </c>
      <c r="G34" s="307">
        <f t="shared" ref="G34:G35" si="8">SUM(E34:F34)</f>
        <v>1</v>
      </c>
      <c r="H34" s="308"/>
    </row>
    <row r="35" spans="1:8" s="1" customFormat="1" ht="15.75" x14ac:dyDescent="0.25">
      <c r="A35" s="311"/>
      <c r="B35" s="306"/>
      <c r="C35" s="125" t="s">
        <v>22</v>
      </c>
      <c r="D35" s="128">
        <f>'PLANILHA ORÇAMENTÁRIA'!K78</f>
        <v>461.46770000000004</v>
      </c>
      <c r="E35" s="124">
        <f>E34*$D$35</f>
        <v>230.73385000000002</v>
      </c>
      <c r="F35" s="124">
        <f>F34*$D$35</f>
        <v>230.73385000000002</v>
      </c>
      <c r="G35" s="309">
        <f t="shared" si="8"/>
        <v>461.46770000000004</v>
      </c>
      <c r="H35" s="310"/>
    </row>
    <row r="36" spans="1:8" ht="15.75" x14ac:dyDescent="0.25">
      <c r="A36" s="318" t="s">
        <v>12</v>
      </c>
      <c r="B36" s="319"/>
      <c r="C36" s="117" t="s">
        <v>21</v>
      </c>
      <c r="D36" s="129">
        <f>SUM(D10,D12,D14,D16,D18,D20,D22,D24,D26,D28,D30,D32,D34)</f>
        <v>1.0000000000000002</v>
      </c>
      <c r="E36" s="126">
        <f>SUM(E11,E13,E15,E17,E19,E21,E23,E25,E27,E29,E31,E33,E35)/D37</f>
        <v>0.74532192993392421</v>
      </c>
      <c r="F36" s="126">
        <f>SUM(F11,F13,F15,F17,F19,F21,F23,F25,F27,F29,F31,F33,F35)/D37</f>
        <v>0.25467807006607579</v>
      </c>
      <c r="G36" s="312">
        <f t="shared" si="0"/>
        <v>1</v>
      </c>
      <c r="H36" s="313"/>
    </row>
    <row r="37" spans="1:8" ht="15.75" x14ac:dyDescent="0.25">
      <c r="A37" s="318"/>
      <c r="B37" s="319"/>
      <c r="C37" s="118" t="s">
        <v>22</v>
      </c>
      <c r="D37" s="130">
        <f>SUM(D11,D13,D15,D17,D19,D21,D23,D25,D27,D29,D31,D33,D35)</f>
        <v>92755.007700000002</v>
      </c>
      <c r="E37" s="130">
        <f>SUM(E11,E13,E15,E17,E19,E21,E23,E25,E27,E29,E31,E33,E35)</f>
        <v>69132.341350000002</v>
      </c>
      <c r="F37" s="130">
        <f>SUM(F11,F13,F15,F17,F19,F21,F23,F25,F27,F29,F31,F33,F35)</f>
        <v>23622.66635</v>
      </c>
      <c r="G37" s="324">
        <f t="shared" si="0"/>
        <v>92755.007700000002</v>
      </c>
      <c r="H37" s="325"/>
    </row>
    <row r="38" spans="1:8" ht="16.5" x14ac:dyDescent="0.3">
      <c r="A38" s="199"/>
      <c r="B38" s="135"/>
      <c r="C38" s="135"/>
      <c r="D38" s="135"/>
      <c r="E38" s="135"/>
      <c r="F38" s="135"/>
      <c r="G38" s="136"/>
      <c r="H38" s="200"/>
    </row>
    <row r="39" spans="1:8" ht="16.5" x14ac:dyDescent="0.3">
      <c r="A39" s="199"/>
      <c r="B39" s="137"/>
      <c r="C39" s="135"/>
      <c r="D39" s="135"/>
      <c r="E39" s="137"/>
      <c r="F39" s="137"/>
      <c r="G39" s="136"/>
      <c r="H39" s="200"/>
    </row>
    <row r="40" spans="1:8" ht="16.5" x14ac:dyDescent="0.3">
      <c r="A40" s="201"/>
      <c r="B40" s="138"/>
      <c r="C40" s="139"/>
      <c r="D40" s="314"/>
      <c r="E40" s="315"/>
      <c r="F40" s="140"/>
      <c r="G40" s="136"/>
      <c r="H40" s="200"/>
    </row>
    <row r="41" spans="1:8" ht="14.25" customHeight="1" x14ac:dyDescent="0.3">
      <c r="A41" s="202"/>
      <c r="B41" s="166" t="s">
        <v>136</v>
      </c>
      <c r="C41" s="160"/>
      <c r="D41" s="159"/>
      <c r="E41" s="115"/>
      <c r="F41" s="115"/>
      <c r="G41" s="115"/>
      <c r="H41" s="200"/>
    </row>
    <row r="42" spans="1:8" ht="15.75" customHeight="1" x14ac:dyDescent="0.3">
      <c r="A42" s="203"/>
      <c r="B42" s="167" t="s">
        <v>137</v>
      </c>
      <c r="C42" s="161"/>
      <c r="D42" s="159"/>
      <c r="E42" s="115"/>
      <c r="F42" s="115"/>
      <c r="G42" s="141"/>
      <c r="H42" s="200"/>
    </row>
    <row r="43" spans="1:8" ht="17.25" customHeight="1" thickBot="1" x14ac:dyDescent="0.35">
      <c r="A43" s="204"/>
      <c r="B43" s="186" t="s">
        <v>138</v>
      </c>
      <c r="C43" s="185"/>
      <c r="D43" s="184"/>
      <c r="E43" s="205"/>
      <c r="F43" s="205"/>
      <c r="G43" s="206"/>
      <c r="H43" s="207"/>
    </row>
    <row r="44" spans="1:8" ht="21" thickTop="1" x14ac:dyDescent="0.3">
      <c r="A44" s="131"/>
      <c r="B44" s="132"/>
      <c r="C44" s="132"/>
      <c r="D44" s="132"/>
      <c r="E44" s="132"/>
      <c r="F44" s="132"/>
      <c r="G44" s="132"/>
      <c r="H44" s="131"/>
    </row>
    <row r="45" spans="1:8" x14ac:dyDescent="0.25">
      <c r="A45" s="133"/>
      <c r="B45" s="133"/>
      <c r="C45" s="134"/>
      <c r="D45" s="134"/>
      <c r="E45" s="133"/>
      <c r="F45" s="133"/>
      <c r="G45" s="133"/>
      <c r="H45" s="133"/>
    </row>
    <row r="46" spans="1:8" x14ac:dyDescent="0.25">
      <c r="A46" s="133"/>
      <c r="B46" s="133"/>
      <c r="C46" s="133"/>
      <c r="D46" s="133"/>
      <c r="E46" s="133"/>
      <c r="F46" s="133"/>
      <c r="G46" s="133"/>
      <c r="H46" s="133"/>
    </row>
    <row r="47" spans="1:8" x14ac:dyDescent="0.25">
      <c r="A47" s="133"/>
      <c r="B47" s="133"/>
      <c r="C47" s="133"/>
      <c r="D47" s="133"/>
      <c r="E47" s="133"/>
      <c r="F47" s="133"/>
      <c r="G47" s="133"/>
      <c r="H47" s="133"/>
    </row>
  </sheetData>
  <mergeCells count="67">
    <mergeCell ref="A34:A35"/>
    <mergeCell ref="B34:B35"/>
    <mergeCell ref="G34:H34"/>
    <mergeCell ref="G35:H35"/>
    <mergeCell ref="A26:A27"/>
    <mergeCell ref="B26:B27"/>
    <mergeCell ref="G26:H26"/>
    <mergeCell ref="G27:H27"/>
    <mergeCell ref="A32:A33"/>
    <mergeCell ref="B32:B33"/>
    <mergeCell ref="G32:H32"/>
    <mergeCell ref="G33:H33"/>
    <mergeCell ref="A30:A31"/>
    <mergeCell ref="B30:B31"/>
    <mergeCell ref="G30:H30"/>
    <mergeCell ref="G31:H31"/>
    <mergeCell ref="A28:A29"/>
    <mergeCell ref="B28:B29"/>
    <mergeCell ref="G28:H28"/>
    <mergeCell ref="G29:H29"/>
    <mergeCell ref="A4:H4"/>
    <mergeCell ref="G9:H9"/>
    <mergeCell ref="A6:H6"/>
    <mergeCell ref="B10:B11"/>
    <mergeCell ref="G10:H10"/>
    <mergeCell ref="G11:H11"/>
    <mergeCell ref="G12:H12"/>
    <mergeCell ref="G13:H13"/>
    <mergeCell ref="A16:A17"/>
    <mergeCell ref="B16:B17"/>
    <mergeCell ref="B22:B23"/>
    <mergeCell ref="A24:A25"/>
    <mergeCell ref="A1:F1"/>
    <mergeCell ref="G1:H2"/>
    <mergeCell ref="A2:F2"/>
    <mergeCell ref="A3:H3"/>
    <mergeCell ref="A5:H5"/>
    <mergeCell ref="A36:B37"/>
    <mergeCell ref="A7:F7"/>
    <mergeCell ref="G7:H7"/>
    <mergeCell ref="A8:F8"/>
    <mergeCell ref="G20:H20"/>
    <mergeCell ref="G21:H21"/>
    <mergeCell ref="G37:H37"/>
    <mergeCell ref="B12:B13"/>
    <mergeCell ref="A14:A15"/>
    <mergeCell ref="B14:B15"/>
    <mergeCell ref="A18:A19"/>
    <mergeCell ref="B18:B19"/>
    <mergeCell ref="A12:A13"/>
    <mergeCell ref="A10:A11"/>
    <mergeCell ref="G17:H17"/>
    <mergeCell ref="G19:H19"/>
    <mergeCell ref="G36:H36"/>
    <mergeCell ref="D40:E40"/>
    <mergeCell ref="G14:H14"/>
    <mergeCell ref="G15:H15"/>
    <mergeCell ref="G18:H18"/>
    <mergeCell ref="G16:H16"/>
    <mergeCell ref="G22:H22"/>
    <mergeCell ref="G23:H23"/>
    <mergeCell ref="B24:B25"/>
    <mergeCell ref="G24:H24"/>
    <mergeCell ref="G25:H25"/>
    <mergeCell ref="A20:A21"/>
    <mergeCell ref="B20:B21"/>
    <mergeCell ref="A22:A23"/>
  </mergeCells>
  <phoneticPr fontId="13" type="noConversion"/>
  <printOptions horizontalCentered="1" verticalCentered="1"/>
  <pageMargins left="0.25" right="0.25" top="0.75" bottom="0.75" header="0.3" footer="0.3"/>
  <pageSetup paperSize="9" scale="7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27"/>
  <sheetViews>
    <sheetView view="pageBreakPreview" zoomScaleNormal="100" zoomScaleSheetLayoutView="100" workbookViewId="0">
      <selection activeCell="F5" sqref="F5"/>
    </sheetView>
  </sheetViews>
  <sheetFormatPr defaultRowHeight="15" x14ac:dyDescent="0.25"/>
  <cols>
    <col min="1" max="1" width="8.5703125" style="2" customWidth="1"/>
    <col min="2" max="2" width="13.5703125" style="2" customWidth="1"/>
    <col min="3" max="3" width="55.5703125" style="1" customWidth="1"/>
    <col min="4" max="4" width="7" style="2" customWidth="1"/>
    <col min="5" max="5" width="10.140625" style="3" customWidth="1"/>
    <col min="6" max="6" width="21" style="42" customWidth="1"/>
    <col min="7" max="7" width="11.5703125" style="1" bestFit="1" customWidth="1"/>
    <col min="8" max="16384" width="9.140625" style="1"/>
  </cols>
  <sheetData>
    <row r="1" spans="1:7" x14ac:dyDescent="0.25">
      <c r="A1" s="336" t="s">
        <v>52</v>
      </c>
      <c r="B1" s="336"/>
      <c r="C1" s="336"/>
      <c r="D1" s="336"/>
      <c r="E1" s="336"/>
      <c r="F1" s="336"/>
    </row>
    <row r="2" spans="1:7" ht="15.75" thickBot="1" x14ac:dyDescent="0.3">
      <c r="A2" s="337"/>
      <c r="B2" s="337"/>
      <c r="C2" s="337"/>
      <c r="D2" s="337"/>
      <c r="E2" s="337"/>
      <c r="F2" s="337"/>
    </row>
    <row r="3" spans="1:7" x14ac:dyDescent="0.25">
      <c r="A3" s="23" t="s">
        <v>5</v>
      </c>
      <c r="B3" s="24" t="s">
        <v>13</v>
      </c>
      <c r="C3" s="24" t="s">
        <v>6</v>
      </c>
      <c r="D3" s="24" t="s">
        <v>7</v>
      </c>
      <c r="E3" s="24" t="s">
        <v>8</v>
      </c>
      <c r="F3" s="36" t="s">
        <v>34</v>
      </c>
    </row>
    <row r="4" spans="1:7" s="19" customFormat="1" x14ac:dyDescent="0.25">
      <c r="A4" s="25">
        <v>1</v>
      </c>
      <c r="B4" s="26"/>
      <c r="C4" s="26" t="s">
        <v>0</v>
      </c>
      <c r="D4" s="26"/>
      <c r="E4" s="26"/>
      <c r="F4" s="37"/>
    </row>
    <row r="5" spans="1:7" x14ac:dyDescent="0.25">
      <c r="A5" s="6" t="s">
        <v>10</v>
      </c>
      <c r="B5" s="27" t="s">
        <v>23</v>
      </c>
      <c r="C5" s="4" t="s">
        <v>25</v>
      </c>
      <c r="D5" s="12" t="s">
        <v>24</v>
      </c>
      <c r="E5" s="10">
        <v>28</v>
      </c>
      <c r="F5" s="38" t="s">
        <v>80</v>
      </c>
      <c r="G5" s="38"/>
    </row>
    <row r="6" spans="1:7" ht="80.25" customHeight="1" x14ac:dyDescent="0.25">
      <c r="A6" s="14" t="s">
        <v>11</v>
      </c>
      <c r="B6" s="28" t="s">
        <v>26</v>
      </c>
      <c r="C6" s="7" t="s">
        <v>35</v>
      </c>
      <c r="D6" s="13" t="s">
        <v>2</v>
      </c>
      <c r="E6" s="10">
        <v>1</v>
      </c>
      <c r="F6" s="43">
        <v>1</v>
      </c>
    </row>
    <row r="7" spans="1:7" x14ac:dyDescent="0.25">
      <c r="A7" s="6"/>
      <c r="B7" s="27"/>
      <c r="C7" s="4"/>
      <c r="D7" s="339"/>
      <c r="E7" s="339"/>
      <c r="F7" s="38"/>
    </row>
    <row r="8" spans="1:7" s="21" customFormat="1" x14ac:dyDescent="0.25">
      <c r="A8" s="32">
        <v>2</v>
      </c>
      <c r="B8" s="22"/>
      <c r="C8" s="22" t="s">
        <v>27</v>
      </c>
      <c r="D8" s="30"/>
      <c r="E8" s="31"/>
      <c r="F8" s="39"/>
    </row>
    <row r="9" spans="1:7" ht="78.75" customHeight="1" x14ac:dyDescent="0.25">
      <c r="A9" s="14" t="s">
        <v>45</v>
      </c>
      <c r="B9" s="28" t="s">
        <v>29</v>
      </c>
      <c r="C9" s="7" t="s">
        <v>28</v>
      </c>
      <c r="D9" s="13" t="s">
        <v>4</v>
      </c>
      <c r="E9" s="45">
        <f>232.43+23.4+24.21</f>
        <v>280.04000000000002</v>
      </c>
      <c r="F9" s="99" t="s">
        <v>78</v>
      </c>
    </row>
    <row r="10" spans="1:7" x14ac:dyDescent="0.25">
      <c r="A10" s="6"/>
      <c r="B10" s="27"/>
      <c r="C10" s="4"/>
      <c r="D10" s="339"/>
      <c r="E10" s="339"/>
      <c r="F10" s="38"/>
    </row>
    <row r="11" spans="1:7" s="21" customFormat="1" x14ac:dyDescent="0.25">
      <c r="A11" s="32">
        <v>3</v>
      </c>
      <c r="B11" s="22"/>
      <c r="C11" s="22" t="s">
        <v>36</v>
      </c>
      <c r="D11" s="30"/>
      <c r="E11" s="31"/>
      <c r="F11" s="39"/>
    </row>
    <row r="12" spans="1:7" x14ac:dyDescent="0.25">
      <c r="A12" s="97" t="s">
        <v>46</v>
      </c>
      <c r="B12" s="29" t="s">
        <v>38</v>
      </c>
      <c r="C12" s="17" t="s">
        <v>37</v>
      </c>
      <c r="D12" s="18" t="s">
        <v>1</v>
      </c>
      <c r="E12" s="44" t="e">
        <f>'PLANILHA ORÇAMENTÁRIA'!#REF!</f>
        <v>#REF!</v>
      </c>
      <c r="F12" s="43" t="s">
        <v>51</v>
      </c>
    </row>
    <row r="13" spans="1:7" ht="45" x14ac:dyDescent="0.25">
      <c r="A13" s="97" t="s">
        <v>47</v>
      </c>
      <c r="B13" s="29" t="s">
        <v>30</v>
      </c>
      <c r="C13" s="17" t="s">
        <v>41</v>
      </c>
      <c r="D13" s="18" t="s">
        <v>3</v>
      </c>
      <c r="E13" s="45" t="e">
        <f>E12*0.1</f>
        <v>#REF!</v>
      </c>
      <c r="F13" s="43" t="s">
        <v>77</v>
      </c>
    </row>
    <row r="14" spans="1:7" ht="33.75" x14ac:dyDescent="0.25">
      <c r="A14" s="97" t="s">
        <v>48</v>
      </c>
      <c r="B14" s="29" t="s">
        <v>42</v>
      </c>
      <c r="C14" s="17" t="s">
        <v>43</v>
      </c>
      <c r="D14" s="18" t="s">
        <v>1</v>
      </c>
      <c r="E14" s="44" t="e">
        <f>E12</f>
        <v>#REF!</v>
      </c>
      <c r="F14" s="43" t="s">
        <v>51</v>
      </c>
    </row>
    <row r="15" spans="1:7" s="16" customFormat="1" ht="90" customHeight="1" x14ac:dyDescent="0.25">
      <c r="A15" s="97" t="s">
        <v>49</v>
      </c>
      <c r="B15" s="29" t="s">
        <v>44</v>
      </c>
      <c r="C15" s="17" t="e">
        <f>'PLANILHA ORÇAMENTÁRIA'!#REF!</f>
        <v>#REF!</v>
      </c>
      <c r="D15" s="18" t="s">
        <v>4</v>
      </c>
      <c r="E15" s="98">
        <f>E9+60</f>
        <v>340.04</v>
      </c>
      <c r="F15" s="38" t="s">
        <v>79</v>
      </c>
    </row>
    <row r="16" spans="1:7" s="16" customFormat="1" ht="23.25" customHeight="1" x14ac:dyDescent="0.25">
      <c r="A16" s="97" t="s">
        <v>53</v>
      </c>
      <c r="B16" s="29" t="e">
        <f>'PLANILHA ORÇAMENTÁRIA'!#REF!</f>
        <v>#REF!</v>
      </c>
      <c r="C16" s="17" t="e">
        <f>'PLANILHA ORÇAMENTÁRIA'!#REF!</f>
        <v>#REF!</v>
      </c>
      <c r="D16" s="18" t="e">
        <f>'PLANILHA ORÇAMENTÁRIA'!#REF!</f>
        <v>#REF!</v>
      </c>
      <c r="E16" s="96">
        <v>2</v>
      </c>
      <c r="F16" s="38" t="s">
        <v>54</v>
      </c>
    </row>
    <row r="17" spans="1:6" ht="16.5" customHeight="1" x14ac:dyDescent="0.25">
      <c r="A17" s="6"/>
      <c r="B17" s="27"/>
      <c r="C17" s="4"/>
      <c r="D17" s="339"/>
      <c r="E17" s="339"/>
      <c r="F17" s="38"/>
    </row>
    <row r="18" spans="1:6" s="20" customFormat="1" ht="16.5" customHeight="1" x14ac:dyDescent="0.25">
      <c r="A18" s="32">
        <v>4</v>
      </c>
      <c r="B18" s="22"/>
      <c r="C18" s="22" t="s">
        <v>40</v>
      </c>
      <c r="D18" s="30"/>
      <c r="E18" s="31"/>
      <c r="F18" s="40"/>
    </row>
    <row r="19" spans="1:6" ht="16.5" customHeight="1" x14ac:dyDescent="0.25">
      <c r="A19" s="6" t="s">
        <v>50</v>
      </c>
      <c r="B19" s="28" t="s">
        <v>31</v>
      </c>
      <c r="C19" s="5" t="s">
        <v>39</v>
      </c>
      <c r="D19" s="13" t="s">
        <v>1</v>
      </c>
      <c r="E19" s="96" t="e">
        <f>'PLANILHA ORÇAMENTÁRIA'!#REF!</f>
        <v>#REF!</v>
      </c>
      <c r="F19" s="38" t="s">
        <v>51</v>
      </c>
    </row>
    <row r="20" spans="1:6" ht="16.5" customHeight="1" thickBot="1" x14ac:dyDescent="0.3">
      <c r="A20" s="33"/>
      <c r="B20" s="34"/>
      <c r="C20" s="35"/>
      <c r="D20" s="340"/>
      <c r="E20" s="340"/>
      <c r="F20" s="41"/>
    </row>
    <row r="22" spans="1:6" x14ac:dyDescent="0.25">
      <c r="A22" s="338" t="s">
        <v>55</v>
      </c>
      <c r="B22" s="338"/>
    </row>
    <row r="23" spans="1:6" x14ac:dyDescent="0.25">
      <c r="C23" s="1" t="s">
        <v>32</v>
      </c>
    </row>
    <row r="24" spans="1:6" x14ac:dyDescent="0.25">
      <c r="C24" s="1" t="s">
        <v>33</v>
      </c>
    </row>
    <row r="26" spans="1:6" x14ac:dyDescent="0.25">
      <c r="F26" s="42">
        <v>250000</v>
      </c>
    </row>
    <row r="27" spans="1:6" x14ac:dyDescent="0.25">
      <c r="F27" s="42">
        <f>F26*1.03</f>
        <v>257500</v>
      </c>
    </row>
  </sheetData>
  <mergeCells count="6">
    <mergeCell ref="A1:F2"/>
    <mergeCell ref="A22:B22"/>
    <mergeCell ref="D7:E7"/>
    <mergeCell ref="D10:E10"/>
    <mergeCell ref="D17:E17"/>
    <mergeCell ref="D20:E20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9" scale="8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view="pageBreakPreview" zoomScaleNormal="100" zoomScaleSheetLayoutView="100" workbookViewId="0">
      <selection activeCell="F14" sqref="F14"/>
    </sheetView>
  </sheetViews>
  <sheetFormatPr defaultRowHeight="15" x14ac:dyDescent="0.25"/>
  <cols>
    <col min="3" max="3" width="55" customWidth="1"/>
    <col min="4" max="4" width="16.7109375" bestFit="1" customWidth="1"/>
    <col min="5" max="6" width="15.85546875" bestFit="1" customWidth="1"/>
    <col min="7" max="7" width="8.140625" bestFit="1" customWidth="1"/>
    <col min="8" max="8" width="7.7109375" bestFit="1" customWidth="1"/>
    <col min="11" max="11" width="14.28515625" bestFit="1" customWidth="1"/>
  </cols>
  <sheetData>
    <row r="1" spans="1:13" ht="18" x14ac:dyDescent="0.25">
      <c r="A1" s="342" t="s">
        <v>56</v>
      </c>
      <c r="B1" s="342"/>
      <c r="C1" s="342"/>
      <c r="D1" s="342"/>
      <c r="E1" s="342"/>
      <c r="F1" s="342"/>
      <c r="G1" s="342"/>
      <c r="H1" s="342"/>
      <c r="I1" s="46"/>
      <c r="J1" s="46"/>
      <c r="K1" s="47"/>
      <c r="L1" s="46"/>
      <c r="M1" s="1"/>
    </row>
    <row r="2" spans="1:13" ht="15.75" x14ac:dyDescent="0.25">
      <c r="A2" s="343" t="s">
        <v>57</v>
      </c>
      <c r="B2" s="343"/>
      <c r="C2" s="343"/>
      <c r="D2" s="343"/>
      <c r="E2" s="343"/>
      <c r="F2" s="343"/>
      <c r="G2" s="343"/>
      <c r="H2" s="343"/>
      <c r="I2" s="46"/>
      <c r="J2" s="46"/>
      <c r="K2" s="47"/>
      <c r="L2" s="46"/>
      <c r="M2" s="1"/>
    </row>
    <row r="3" spans="1:13" ht="15.75" x14ac:dyDescent="0.25">
      <c r="A3" s="344" t="s">
        <v>58</v>
      </c>
      <c r="B3" s="344"/>
      <c r="C3" s="344"/>
      <c r="D3" s="344"/>
      <c r="E3" s="344"/>
      <c r="F3" s="344"/>
      <c r="G3" s="344"/>
      <c r="H3" s="344"/>
      <c r="I3" s="48"/>
      <c r="J3" s="46"/>
      <c r="K3" s="47"/>
      <c r="L3" s="46"/>
      <c r="M3" s="1"/>
    </row>
    <row r="4" spans="1:13" x14ac:dyDescent="0.25">
      <c r="A4" s="345" t="s">
        <v>59</v>
      </c>
      <c r="B4" s="345"/>
      <c r="C4" s="345"/>
      <c r="D4" s="345"/>
      <c r="E4" s="345"/>
      <c r="F4" s="345"/>
      <c r="G4" s="345"/>
      <c r="H4" s="345"/>
      <c r="I4" s="46"/>
      <c r="J4" s="46"/>
      <c r="K4" s="47"/>
      <c r="L4" s="46"/>
      <c r="M4" s="1"/>
    </row>
    <row r="5" spans="1:13" x14ac:dyDescent="0.25">
      <c r="A5" s="346" t="s">
        <v>74</v>
      </c>
      <c r="B5" s="346"/>
      <c r="C5" s="346"/>
      <c r="D5" s="346"/>
      <c r="E5" s="346"/>
      <c r="F5" s="346"/>
      <c r="G5" s="346"/>
      <c r="H5" s="346"/>
      <c r="I5" s="49"/>
      <c r="J5" s="46"/>
      <c r="K5" s="47"/>
      <c r="L5" s="46"/>
      <c r="M5" s="1"/>
    </row>
    <row r="6" spans="1:13" x14ac:dyDescent="0.25">
      <c r="A6" s="341" t="s">
        <v>55</v>
      </c>
      <c r="B6" s="341"/>
      <c r="C6" s="341"/>
      <c r="D6" s="341"/>
      <c r="E6" s="341"/>
      <c r="F6" s="341"/>
      <c r="G6" s="341"/>
      <c r="H6" s="341"/>
      <c r="I6" s="46"/>
      <c r="J6" s="46"/>
      <c r="K6" s="47"/>
      <c r="L6" s="46"/>
      <c r="M6" s="1"/>
    </row>
    <row r="7" spans="1:13" ht="18" x14ac:dyDescent="0.25">
      <c r="A7" s="343" t="s">
        <v>60</v>
      </c>
      <c r="B7" s="343"/>
      <c r="C7" s="343"/>
      <c r="D7" s="343"/>
      <c r="E7" s="343"/>
      <c r="F7" s="343"/>
      <c r="G7" s="343"/>
      <c r="H7" s="343"/>
      <c r="I7" s="50"/>
      <c r="J7" s="50"/>
      <c r="K7" s="51"/>
      <c r="L7" s="50"/>
      <c r="M7" s="1"/>
    </row>
    <row r="8" spans="1:13" x14ac:dyDescent="0.25">
      <c r="A8" s="348"/>
      <c r="B8" s="348"/>
      <c r="C8" s="348"/>
      <c r="D8" s="348"/>
      <c r="E8" s="348"/>
      <c r="F8" s="348"/>
      <c r="G8" s="348"/>
      <c r="H8" s="348"/>
      <c r="I8" s="46"/>
      <c r="J8" s="46"/>
      <c r="K8" s="52"/>
      <c r="L8" s="53"/>
      <c r="M8" s="1"/>
    </row>
    <row r="9" spans="1:13" ht="25.5" x14ac:dyDescent="0.25">
      <c r="A9" s="54" t="s">
        <v>61</v>
      </c>
      <c r="B9" s="54" t="s">
        <v>5</v>
      </c>
      <c r="C9" s="55" t="s">
        <v>62</v>
      </c>
      <c r="D9" s="56" t="s">
        <v>63</v>
      </c>
      <c r="E9" s="56" t="s">
        <v>73</v>
      </c>
      <c r="F9" s="56" t="s">
        <v>12</v>
      </c>
      <c r="G9" s="349" t="s">
        <v>64</v>
      </c>
      <c r="H9" s="349" t="s">
        <v>65</v>
      </c>
      <c r="I9" s="57"/>
      <c r="J9" s="57"/>
      <c r="K9" s="58"/>
      <c r="L9" s="59"/>
      <c r="M9" s="1"/>
    </row>
    <row r="10" spans="1:13" ht="15.75" x14ac:dyDescent="0.25">
      <c r="A10" s="351">
        <v>1</v>
      </c>
      <c r="B10" s="60"/>
      <c r="C10" s="61"/>
      <c r="D10" s="62" t="e">
        <f>SUM(D11:D22)</f>
        <v>#REF!</v>
      </c>
      <c r="E10" s="62" t="e">
        <f>SUM(E11:E22)</f>
        <v>#REF!</v>
      </c>
      <c r="F10" s="62" t="e">
        <f>SUM(F11:F22)</f>
        <v>#REF!</v>
      </c>
      <c r="G10" s="350"/>
      <c r="H10" s="350"/>
      <c r="I10" s="63">
        <v>0</v>
      </c>
      <c r="J10" s="64" t="str">
        <f>IF(I10="","N","I")</f>
        <v>I</v>
      </c>
      <c r="K10" s="65"/>
      <c r="L10" s="66"/>
      <c r="M10" s="1"/>
    </row>
    <row r="11" spans="1:13" ht="15.75" x14ac:dyDescent="0.25">
      <c r="A11" s="352"/>
      <c r="B11" s="60">
        <v>1</v>
      </c>
      <c r="C11" s="67" t="str">
        <f>'PLANILHA ORÇAMENTÁRIA'!F10</f>
        <v>SERVIÇOS PRELIMINARES / ADMINISTRAÇÃO LOCAL</v>
      </c>
      <c r="D11" s="68" t="e">
        <f>(F11*(1-K11))</f>
        <v>#REF!</v>
      </c>
      <c r="E11" s="68" t="e">
        <f>F11*K11</f>
        <v>#REF!</v>
      </c>
      <c r="F11" s="68">
        <f>'PLANILHA ORÇAMENTÁRIA'!K12</f>
        <v>2102</v>
      </c>
      <c r="G11" s="69" t="s">
        <v>66</v>
      </c>
      <c r="H11" s="69" t="s">
        <v>81</v>
      </c>
      <c r="I11" s="63">
        <v>0</v>
      </c>
      <c r="J11" s="64" t="str">
        <f>IF(I11="","N","I")</f>
        <v>I</v>
      </c>
      <c r="K11" s="70" t="e">
        <f>($L$11/$F$10)</f>
        <v>#REF!</v>
      </c>
      <c r="L11" s="71">
        <v>100000</v>
      </c>
      <c r="M11" s="1"/>
    </row>
    <row r="12" spans="1:13" ht="15.75" x14ac:dyDescent="0.25">
      <c r="A12" s="352"/>
      <c r="B12" s="60">
        <v>2</v>
      </c>
      <c r="C12" s="72" t="e">
        <f>'PLANILHA ORÇAMENTÁRIA'!#REF!</f>
        <v>#REF!</v>
      </c>
      <c r="D12" s="68" t="e">
        <f t="shared" ref="D12:D14" si="0">(F12*(1-K12))</f>
        <v>#REF!</v>
      </c>
      <c r="E12" s="68" t="e">
        <f t="shared" ref="E12:E14" si="1">F12*K12</f>
        <v>#REF!</v>
      </c>
      <c r="F12" s="68" t="e">
        <f>'PLANILHA ORÇAMENTÁRIA'!#REF!</f>
        <v>#REF!</v>
      </c>
      <c r="G12" s="69" t="s">
        <v>66</v>
      </c>
      <c r="H12" s="69" t="s">
        <v>81</v>
      </c>
      <c r="I12" s="63"/>
      <c r="J12" s="64"/>
      <c r="K12" s="70" t="e">
        <f t="shared" ref="K12:K22" si="2">($L$11/$F$10)</f>
        <v>#REF!</v>
      </c>
      <c r="L12" s="71"/>
      <c r="M12" s="1"/>
    </row>
    <row r="13" spans="1:13" ht="15.75" x14ac:dyDescent="0.25">
      <c r="A13" s="352"/>
      <c r="B13" s="60">
        <v>3</v>
      </c>
      <c r="C13" s="72" t="e">
        <f>'PLANILHA ORÇAMENTÁRIA'!#REF!</f>
        <v>#REF!</v>
      </c>
      <c r="D13" s="68" t="e">
        <f t="shared" si="0"/>
        <v>#REF!</v>
      </c>
      <c r="E13" s="68" t="e">
        <f t="shared" si="1"/>
        <v>#REF!</v>
      </c>
      <c r="F13" s="68" t="e">
        <f>'PLANILHA ORÇAMENTÁRIA'!#REF!</f>
        <v>#REF!</v>
      </c>
      <c r="G13" s="69" t="s">
        <v>66</v>
      </c>
      <c r="H13" s="69" t="s">
        <v>81</v>
      </c>
      <c r="I13" s="63"/>
      <c r="J13" s="64"/>
      <c r="K13" s="70" t="e">
        <f t="shared" si="2"/>
        <v>#REF!</v>
      </c>
      <c r="L13" s="71"/>
      <c r="M13" s="1"/>
    </row>
    <row r="14" spans="1:13" ht="15.75" x14ac:dyDescent="0.25">
      <c r="A14" s="352"/>
      <c r="B14" s="60">
        <v>4</v>
      </c>
      <c r="C14" s="72" t="e">
        <f>'PLANILHA ORÇAMENTÁRIA'!#REF!</f>
        <v>#REF!</v>
      </c>
      <c r="D14" s="68" t="e">
        <f t="shared" si="0"/>
        <v>#REF!</v>
      </c>
      <c r="E14" s="68" t="e">
        <f t="shared" si="1"/>
        <v>#REF!</v>
      </c>
      <c r="F14" s="68" t="e">
        <f>'PLANILHA ORÇAMENTÁRIA'!#REF!</f>
        <v>#REF!</v>
      </c>
      <c r="G14" s="69" t="s">
        <v>66</v>
      </c>
      <c r="H14" s="69" t="s">
        <v>81</v>
      </c>
      <c r="I14" s="63"/>
      <c r="J14" s="64"/>
      <c r="K14" s="70" t="e">
        <f t="shared" si="2"/>
        <v>#REF!</v>
      </c>
      <c r="L14" s="66"/>
      <c r="M14" s="1"/>
    </row>
    <row r="15" spans="1:13" ht="15.75" x14ac:dyDescent="0.25">
      <c r="A15" s="352"/>
      <c r="B15" s="60">
        <v>5</v>
      </c>
      <c r="C15" s="72"/>
      <c r="D15" s="68"/>
      <c r="E15" s="68"/>
      <c r="F15" s="68"/>
      <c r="G15" s="69"/>
      <c r="H15" s="69"/>
      <c r="I15" s="63"/>
      <c r="J15" s="64"/>
      <c r="K15" s="70" t="e">
        <f t="shared" si="2"/>
        <v>#REF!</v>
      </c>
      <c r="L15" s="57"/>
      <c r="M15" s="1"/>
    </row>
    <row r="16" spans="1:13" ht="15.75" x14ac:dyDescent="0.25">
      <c r="A16" s="352"/>
      <c r="B16" s="60">
        <v>6</v>
      </c>
      <c r="C16" s="72"/>
      <c r="D16" s="68"/>
      <c r="E16" s="68"/>
      <c r="F16" s="68"/>
      <c r="G16" s="69"/>
      <c r="H16" s="69"/>
      <c r="I16" s="63"/>
      <c r="J16" s="64"/>
      <c r="K16" s="70" t="e">
        <f t="shared" si="2"/>
        <v>#REF!</v>
      </c>
      <c r="L16" s="57"/>
      <c r="M16" s="1"/>
    </row>
    <row r="17" spans="1:13" ht="15.75" x14ac:dyDescent="0.25">
      <c r="A17" s="352"/>
      <c r="B17" s="60">
        <v>7</v>
      </c>
      <c r="C17" s="72"/>
      <c r="D17" s="68"/>
      <c r="E17" s="68"/>
      <c r="F17" s="68"/>
      <c r="G17" s="69"/>
      <c r="H17" s="69"/>
      <c r="I17" s="63"/>
      <c r="J17" s="64"/>
      <c r="K17" s="70" t="e">
        <f t="shared" si="2"/>
        <v>#REF!</v>
      </c>
      <c r="L17" s="73"/>
      <c r="M17" s="1"/>
    </row>
    <row r="18" spans="1:13" ht="15.75" x14ac:dyDescent="0.25">
      <c r="A18" s="352"/>
      <c r="B18" s="60">
        <v>8</v>
      </c>
      <c r="C18" s="72"/>
      <c r="D18" s="68"/>
      <c r="E18" s="68"/>
      <c r="F18" s="68"/>
      <c r="G18" s="69"/>
      <c r="H18" s="69"/>
      <c r="I18" s="63"/>
      <c r="J18" s="64"/>
      <c r="K18" s="70" t="e">
        <f t="shared" si="2"/>
        <v>#REF!</v>
      </c>
      <c r="L18" s="73"/>
      <c r="M18" s="1"/>
    </row>
    <row r="19" spans="1:13" ht="15.75" x14ac:dyDescent="0.25">
      <c r="A19" s="352"/>
      <c r="B19" s="60">
        <v>9</v>
      </c>
      <c r="C19" s="72"/>
      <c r="D19" s="68"/>
      <c r="E19" s="68"/>
      <c r="F19" s="68"/>
      <c r="G19" s="69"/>
      <c r="H19" s="69"/>
      <c r="I19" s="63"/>
      <c r="J19" s="64"/>
      <c r="K19" s="70" t="e">
        <f t="shared" si="2"/>
        <v>#REF!</v>
      </c>
      <c r="L19" s="73"/>
      <c r="M19" s="1"/>
    </row>
    <row r="20" spans="1:13" ht="15.75" x14ac:dyDescent="0.25">
      <c r="A20" s="352"/>
      <c r="B20" s="60">
        <v>10</v>
      </c>
      <c r="C20" s="72"/>
      <c r="D20" s="68"/>
      <c r="E20" s="68"/>
      <c r="F20" s="68"/>
      <c r="G20" s="69"/>
      <c r="H20" s="69"/>
      <c r="I20" s="63"/>
      <c r="J20" s="64"/>
      <c r="K20" s="70" t="e">
        <f t="shared" si="2"/>
        <v>#REF!</v>
      </c>
      <c r="L20" s="57"/>
      <c r="M20" s="1"/>
    </row>
    <row r="21" spans="1:13" ht="15.75" x14ac:dyDescent="0.25">
      <c r="A21" s="352"/>
      <c r="B21" s="60">
        <v>11</v>
      </c>
      <c r="C21" s="72"/>
      <c r="D21" s="68"/>
      <c r="E21" s="68"/>
      <c r="F21" s="68"/>
      <c r="G21" s="69"/>
      <c r="H21" s="69"/>
      <c r="I21" s="63"/>
      <c r="J21" s="64"/>
      <c r="K21" s="70" t="e">
        <f t="shared" si="2"/>
        <v>#REF!</v>
      </c>
      <c r="L21" s="57"/>
      <c r="M21" s="1"/>
    </row>
    <row r="22" spans="1:13" ht="15.75" x14ac:dyDescent="0.25">
      <c r="A22" s="352"/>
      <c r="B22" s="60">
        <v>12</v>
      </c>
      <c r="C22" s="72"/>
      <c r="D22" s="68"/>
      <c r="E22" s="68"/>
      <c r="F22" s="68"/>
      <c r="G22" s="69"/>
      <c r="H22" s="69"/>
      <c r="I22" s="63"/>
      <c r="J22" s="64"/>
      <c r="K22" s="70" t="e">
        <f t="shared" si="2"/>
        <v>#REF!</v>
      </c>
      <c r="L22" s="57"/>
      <c r="M22" s="1"/>
    </row>
    <row r="23" spans="1:13" ht="15.75" x14ac:dyDescent="0.25">
      <c r="A23" s="74"/>
      <c r="B23" s="75"/>
      <c r="C23" s="76"/>
      <c r="D23" s="77"/>
      <c r="E23" s="78"/>
      <c r="F23" s="77"/>
      <c r="G23" s="79"/>
      <c r="H23" s="79"/>
      <c r="I23" s="63"/>
      <c r="J23" s="64"/>
      <c r="K23" s="70"/>
      <c r="L23" s="57"/>
      <c r="M23" s="1"/>
    </row>
    <row r="24" spans="1:13" ht="15.75" x14ac:dyDescent="0.25">
      <c r="A24" s="353" t="s">
        <v>12</v>
      </c>
      <c r="B24" s="354"/>
      <c r="C24" s="355"/>
      <c r="D24" s="80" t="e">
        <f>SUM(D10,D23)</f>
        <v>#REF!</v>
      </c>
      <c r="E24" s="80" t="e">
        <f>SUM(E10,E23)</f>
        <v>#REF!</v>
      </c>
      <c r="F24" s="80" t="e">
        <f>SUM(F10,F23)</f>
        <v>#REF!</v>
      </c>
      <c r="G24" s="356" t="s">
        <v>67</v>
      </c>
      <c r="H24" s="356"/>
      <c r="I24" s="63">
        <v>788</v>
      </c>
      <c r="J24" s="64" t="str">
        <f>IF(I24="","N","I")</f>
        <v>I</v>
      </c>
      <c r="K24" s="70"/>
      <c r="L24" s="57"/>
      <c r="M24" s="1"/>
    </row>
    <row r="25" spans="1:13" ht="15.75" x14ac:dyDescent="0.25">
      <c r="A25" s="357" t="s">
        <v>68</v>
      </c>
      <c r="B25" s="358"/>
      <c r="C25" s="359"/>
      <c r="D25" s="81" t="e">
        <f>D24/F10</f>
        <v>#REF!</v>
      </c>
      <c r="E25" s="82" t="e">
        <f>E24/F24</f>
        <v>#REF!</v>
      </c>
      <c r="F25" s="82" t="e">
        <f>E25+D25</f>
        <v>#REF!</v>
      </c>
      <c r="G25" s="360" t="e">
        <f>F24</f>
        <v>#REF!</v>
      </c>
      <c r="H25" s="360"/>
      <c r="I25" s="63">
        <v>0</v>
      </c>
      <c r="J25" s="64" t="str">
        <f>IF(I25="","N","I")</f>
        <v>I</v>
      </c>
      <c r="K25" s="70"/>
      <c r="L25" s="73"/>
      <c r="M25" s="1"/>
    </row>
    <row r="26" spans="1:13" ht="15.75" x14ac:dyDescent="0.25">
      <c r="A26" s="83"/>
      <c r="B26" s="84"/>
      <c r="C26" s="85"/>
      <c r="D26" s="86"/>
      <c r="E26" s="86"/>
      <c r="F26" s="86"/>
      <c r="G26" s="87"/>
      <c r="H26" s="88"/>
      <c r="I26" s="63"/>
      <c r="J26" s="64" t="s">
        <v>69</v>
      </c>
      <c r="K26" s="70"/>
      <c r="L26" s="57"/>
      <c r="M26" s="1"/>
    </row>
    <row r="27" spans="1:13" ht="15.75" x14ac:dyDescent="0.25">
      <c r="A27" s="83"/>
      <c r="B27" s="361" t="s">
        <v>70</v>
      </c>
      <c r="C27" s="361"/>
      <c r="D27" s="362"/>
      <c r="E27" s="362"/>
      <c r="F27" s="362"/>
      <c r="G27" s="362"/>
      <c r="H27" s="89"/>
      <c r="I27" s="57"/>
      <c r="J27" s="57"/>
      <c r="K27" s="57"/>
      <c r="L27" s="57"/>
      <c r="M27" s="1"/>
    </row>
    <row r="28" spans="1:13" ht="15.75" x14ac:dyDescent="0.25">
      <c r="A28" s="83"/>
      <c r="B28" s="90"/>
      <c r="C28" s="91"/>
      <c r="D28" s="363" t="s">
        <v>71</v>
      </c>
      <c r="E28" s="363"/>
      <c r="F28" s="363"/>
      <c r="G28" s="363"/>
      <c r="H28" s="89"/>
      <c r="I28" s="57"/>
      <c r="J28" s="57"/>
      <c r="K28" s="57"/>
      <c r="L28" s="57"/>
      <c r="M28" s="1"/>
    </row>
    <row r="29" spans="1:13" ht="15.75" x14ac:dyDescent="0.25">
      <c r="A29" s="92"/>
      <c r="B29" s="93"/>
      <c r="C29" s="94"/>
      <c r="D29" s="347" t="s">
        <v>72</v>
      </c>
      <c r="E29" s="347"/>
      <c r="F29" s="347"/>
      <c r="G29" s="347"/>
      <c r="H29" s="95"/>
      <c r="I29" s="57"/>
      <c r="J29" s="57"/>
      <c r="K29" s="57"/>
      <c r="L29" s="57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19">
    <mergeCell ref="D29:G29"/>
    <mergeCell ref="A7:H7"/>
    <mergeCell ref="A8:H8"/>
    <mergeCell ref="G9:G10"/>
    <mergeCell ref="H9:H10"/>
    <mergeCell ref="A10:A22"/>
    <mergeCell ref="A24:C24"/>
    <mergeCell ref="G24:H24"/>
    <mergeCell ref="A25:C25"/>
    <mergeCell ref="G25:H25"/>
    <mergeCell ref="B27:C27"/>
    <mergeCell ref="D27:G27"/>
    <mergeCell ref="D28:G28"/>
    <mergeCell ref="A6:H6"/>
    <mergeCell ref="A1:H1"/>
    <mergeCell ref="A2:H2"/>
    <mergeCell ref="A3:H3"/>
    <mergeCell ref="A4:H4"/>
    <mergeCell ref="A5:H5"/>
  </mergeCells>
  <conditionalFormatting sqref="F10:F23">
    <cfRule type="cellIs" dxfId="2" priority="1" stopIfTrue="1" operator="equal">
      <formula>202106.56</formula>
    </cfRule>
  </conditionalFormatting>
  <conditionalFormatting sqref="F10:F23">
    <cfRule type="cellIs" dxfId="1" priority="2" stopIfTrue="1" operator="equal">
      <formula>0</formula>
    </cfRule>
  </conditionalFormatting>
  <conditionalFormatting sqref="K10 D10:E10">
    <cfRule type="cellIs" dxfId="0" priority="3" stopIfTrue="1" operator="equal">
      <formula>202106.56</formula>
    </cfRule>
  </conditionalFormatting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95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PLANILHA ORÇAMENTÁRIA</vt:lpstr>
      <vt:lpstr>BDI </vt:lpstr>
      <vt:lpstr>CRONOGRAMA</vt:lpstr>
      <vt:lpstr>MEMÓRIA</vt:lpstr>
      <vt:lpstr>QCI</vt:lpstr>
      <vt:lpstr>'BDI '!Area_de_impressao</vt:lpstr>
      <vt:lpstr>CRONOGRAMA!Area_de_impressao</vt:lpstr>
      <vt:lpstr>MEMÓRIA!Area_de_impressao</vt:lpstr>
      <vt:lpstr>'PLANILHA ORÇAMENTÁRIA'!Area_de_impressao</vt:lpstr>
      <vt:lpstr>QCI!Area_de_impressao</vt:lpstr>
      <vt:lpstr>MEMÓRIA!Titulos_de_impressao</vt:lpstr>
      <vt:lpstr>'PLANILHA ORÇAMENTÁRIA'!Titulos_de_impressao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EUSTÁQUIO</dc:creator>
  <cp:lastModifiedBy>cliente</cp:lastModifiedBy>
  <cp:lastPrinted>2021-04-01T14:21:29Z</cp:lastPrinted>
  <dcterms:created xsi:type="dcterms:W3CDTF">2013-03-19T20:19:59Z</dcterms:created>
  <dcterms:modified xsi:type="dcterms:W3CDTF">2021-06-28T11:12:28Z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Cogniview PDF2XL  Evaluation 5.0.10.288</vt:lpwstr>
  </property>
</Properties>
</file>